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chr\Desktop\kosztorys\"/>
    </mc:Choice>
  </mc:AlternateContent>
  <xr:revisionPtr revIDLastSave="0" documentId="13_ncr:1_{E8D9DA14-11D6-4F48-B253-3A2F31181CFD}" xr6:coauthVersionLast="47" xr6:coauthVersionMax="47" xr10:uidLastSave="{00000000-0000-0000-0000-000000000000}"/>
  <workbookProtection workbookAlgorithmName="SHA-512" workbookHashValue="osRVhAA4aOM4wdZA5UO7KT24MwzToIrZ4WeHUlzI6LAtfVp3zk3XsMN/4CdMyO4kN1yUS2yVCq8vcKsmdJejpg==" workbookSaltValue="MF/y6jbVnbrv0+qSKuRbFg==" workbookSpinCount="100000" lockStructure="1"/>
  <bookViews>
    <workbookView xWindow="-120" yWindow="-120" windowWidth="29040" windowHeight="15840" xr2:uid="{00000000-000D-0000-FFFF-FFFF00000000}"/>
  </bookViews>
  <sheets>
    <sheet name="ST" sheetId="4" r:id="rId1"/>
    <sheet name="rozliczenie" sheetId="6" state="hidden" r:id="rId2"/>
    <sheet name="Lista uczestników" sheetId="5" state="hidden" r:id="rId3"/>
    <sheet name="Arkusz1" sheetId="3" state="hidden" r:id="rId4"/>
    <sheet name="Arkusz5" sheetId="10" state="hidden" r:id="rId5"/>
    <sheet name="Arkusz2" sheetId="7" state="hidden" r:id="rId6"/>
    <sheet name="Arkusz3" sheetId="8" state="hidden" r:id="rId7"/>
    <sheet name="Arkusz4" sheetId="9" state="hidden" r:id="rId8"/>
  </sheets>
  <definedNames>
    <definedName name="anek">Arkusz1!$W$2:$W$7</definedName>
    <definedName name="ins">Arkusz1!$Q$2:$Q$30</definedName>
    <definedName name="kier">Arkusz1!$S$2:$S$38</definedName>
    <definedName name="mc">Arkusz1!$J$2:$J$13</definedName>
    <definedName name="_xlnm.Print_Area" localSheetId="1">rozliczenie!$B$2:$L$108</definedName>
    <definedName name="_xlnm.Print_Area" localSheetId="0">ST!$B$2:$M$145</definedName>
    <definedName name="poz">Arkusz1!$U$2:$U$5</definedName>
    <definedName name="proc">Arkusz2!$P$4:$Q$10</definedName>
    <definedName name="rok">Arkusz1!$K$2:$K$13</definedName>
    <definedName name="typ">Arkusz1!$M$2:$M$5</definedName>
    <definedName name="wydz">Arkusz1!$O$2:$O$9</definedName>
    <definedName name="wydz1">Arkusz1!$O$2:$P$10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4" l="1"/>
  <c r="M58" i="4"/>
  <c r="M57" i="4"/>
  <c r="M56" i="4"/>
  <c r="M55" i="4"/>
  <c r="M46" i="4"/>
  <c r="M42" i="4"/>
  <c r="I49" i="4" l="1"/>
  <c r="J127" i="4"/>
  <c r="F9" i="10" l="1"/>
  <c r="F8" i="10"/>
  <c r="F7" i="10"/>
  <c r="F6" i="10"/>
  <c r="F5" i="10"/>
  <c r="F4" i="10"/>
  <c r="F3" i="10"/>
  <c r="F2" i="10"/>
  <c r="E60" i="4" l="1"/>
  <c r="F17" i="4"/>
  <c r="I35" i="3" l="1"/>
  <c r="I34" i="3"/>
  <c r="I33" i="3"/>
  <c r="I32" i="3"/>
  <c r="M75" i="4" l="1"/>
  <c r="L35" i="4" l="1"/>
  <c r="M45" i="4" l="1"/>
  <c r="M44" i="4"/>
  <c r="M43" i="4"/>
  <c r="B33" i="3" l="1"/>
  <c r="B34" i="3"/>
  <c r="B35" i="3"/>
  <c r="B36" i="3"/>
  <c r="B32" i="3"/>
  <c r="F16" i="4" l="1"/>
  <c r="M67" i="4" l="1"/>
  <c r="K29" i="9" l="1"/>
  <c r="I29" i="9"/>
  <c r="M26" i="9"/>
  <c r="M27" i="9"/>
  <c r="M25" i="9"/>
  <c r="M29" i="9" l="1"/>
  <c r="J15" i="9" l="1"/>
  <c r="E5" i="6" l="1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76" i="6"/>
  <c r="C78" i="6"/>
  <c r="D78" i="6"/>
  <c r="E78" i="6"/>
  <c r="F78" i="6"/>
  <c r="G78" i="6"/>
  <c r="H78" i="6"/>
  <c r="I78" i="6"/>
  <c r="J78" i="6"/>
  <c r="C79" i="6"/>
  <c r="D79" i="6"/>
  <c r="E79" i="6"/>
  <c r="F79" i="6"/>
  <c r="G79" i="6"/>
  <c r="H79" i="6"/>
  <c r="I79" i="6"/>
  <c r="J79" i="6"/>
  <c r="C80" i="6"/>
  <c r="D80" i="6"/>
  <c r="E80" i="6"/>
  <c r="F80" i="6"/>
  <c r="G80" i="6"/>
  <c r="H80" i="6"/>
  <c r="I80" i="6"/>
  <c r="J80" i="6"/>
  <c r="C81" i="6"/>
  <c r="D81" i="6"/>
  <c r="E81" i="6"/>
  <c r="F81" i="6"/>
  <c r="G81" i="6"/>
  <c r="H81" i="6"/>
  <c r="I81" i="6"/>
  <c r="J81" i="6"/>
  <c r="C82" i="6"/>
  <c r="D82" i="6"/>
  <c r="E82" i="6"/>
  <c r="F82" i="6"/>
  <c r="G82" i="6"/>
  <c r="H82" i="6"/>
  <c r="I82" i="6"/>
  <c r="J82" i="6"/>
  <c r="C83" i="6"/>
  <c r="D83" i="6"/>
  <c r="E83" i="6"/>
  <c r="F83" i="6"/>
  <c r="G83" i="6"/>
  <c r="H83" i="6"/>
  <c r="I83" i="6"/>
  <c r="J83" i="6"/>
  <c r="C84" i="6"/>
  <c r="D84" i="6"/>
  <c r="E84" i="6"/>
  <c r="F84" i="6"/>
  <c r="G84" i="6"/>
  <c r="H84" i="6"/>
  <c r="I84" i="6"/>
  <c r="J84" i="6"/>
  <c r="C85" i="6"/>
  <c r="D85" i="6"/>
  <c r="E85" i="6"/>
  <c r="F85" i="6"/>
  <c r="G85" i="6"/>
  <c r="H85" i="6"/>
  <c r="I85" i="6"/>
  <c r="J85" i="6"/>
  <c r="C86" i="6"/>
  <c r="D86" i="6"/>
  <c r="E86" i="6"/>
  <c r="F86" i="6"/>
  <c r="G86" i="6"/>
  <c r="H86" i="6"/>
  <c r="I86" i="6"/>
  <c r="J86" i="6"/>
  <c r="C87" i="6"/>
  <c r="D87" i="6"/>
  <c r="E87" i="6"/>
  <c r="F87" i="6"/>
  <c r="G87" i="6"/>
  <c r="H87" i="6"/>
  <c r="I87" i="6"/>
  <c r="J87" i="6"/>
  <c r="C88" i="6"/>
  <c r="D88" i="6"/>
  <c r="E88" i="6"/>
  <c r="F88" i="6"/>
  <c r="G88" i="6"/>
  <c r="H88" i="6"/>
  <c r="I88" i="6"/>
  <c r="J88" i="6"/>
  <c r="C89" i="6"/>
  <c r="D89" i="6"/>
  <c r="E89" i="6"/>
  <c r="F89" i="6"/>
  <c r="G89" i="6"/>
  <c r="H89" i="6"/>
  <c r="I89" i="6"/>
  <c r="J89" i="6"/>
  <c r="C90" i="6"/>
  <c r="D90" i="6"/>
  <c r="E90" i="6"/>
  <c r="F90" i="6"/>
  <c r="G90" i="6"/>
  <c r="H90" i="6"/>
  <c r="I90" i="6"/>
  <c r="J90" i="6"/>
  <c r="C77" i="6"/>
  <c r="D77" i="6"/>
  <c r="E77" i="6"/>
  <c r="F77" i="6"/>
  <c r="G77" i="6"/>
  <c r="H77" i="6"/>
  <c r="I77" i="6"/>
  <c r="J77" i="6"/>
  <c r="C76" i="6"/>
  <c r="J73" i="6"/>
  <c r="F35" i="6"/>
  <c r="G35" i="6"/>
  <c r="H35" i="6"/>
  <c r="I35" i="6"/>
  <c r="F36" i="6"/>
  <c r="H36" i="6"/>
  <c r="I36" i="6"/>
  <c r="F37" i="6"/>
  <c r="H37" i="6"/>
  <c r="I37" i="6"/>
  <c r="F38" i="6"/>
  <c r="H38" i="6"/>
  <c r="I38" i="6"/>
  <c r="F39" i="6"/>
  <c r="H39" i="6"/>
  <c r="I39" i="6"/>
  <c r="F40" i="6"/>
  <c r="H40" i="6"/>
  <c r="I40" i="6"/>
  <c r="F41" i="6"/>
  <c r="H41" i="6"/>
  <c r="I41" i="6"/>
  <c r="F42" i="6"/>
  <c r="H42" i="6"/>
  <c r="I42" i="6"/>
  <c r="F43" i="6"/>
  <c r="G43" i="6"/>
  <c r="H43" i="6"/>
  <c r="I43" i="6"/>
  <c r="F44" i="6"/>
  <c r="H44" i="6"/>
  <c r="I44" i="6"/>
  <c r="H34" i="6"/>
  <c r="I34" i="6"/>
  <c r="F34" i="6"/>
  <c r="B131" i="4" l="1"/>
  <c r="B94" i="6" s="1"/>
  <c r="D62" i="4"/>
  <c r="G36" i="6"/>
  <c r="G34" i="6"/>
  <c r="F11" i="6" l="1"/>
  <c r="J76" i="6"/>
  <c r="I76" i="6"/>
  <c r="H76" i="6"/>
  <c r="G76" i="6"/>
  <c r="F76" i="6"/>
  <c r="E76" i="6"/>
  <c r="D76" i="6"/>
  <c r="F61" i="6" l="1"/>
  <c r="D61" i="6"/>
  <c r="D60" i="6"/>
  <c r="E46" i="6"/>
  <c r="J69" i="6" s="1"/>
  <c r="I53" i="6"/>
  <c r="I54" i="6"/>
  <c r="I55" i="6"/>
  <c r="I52" i="6"/>
  <c r="H55" i="6"/>
  <c r="H54" i="6"/>
  <c r="G53" i="6"/>
  <c r="G54" i="6"/>
  <c r="G55" i="6"/>
  <c r="G52" i="6"/>
  <c r="F55" i="6"/>
  <c r="F54" i="6"/>
  <c r="K44" i="6"/>
  <c r="K42" i="6"/>
  <c r="K40" i="6"/>
  <c r="K38" i="6"/>
  <c r="K36" i="6"/>
  <c r="K34" i="6"/>
  <c r="G24" i="6"/>
  <c r="H24" i="6"/>
  <c r="I24" i="6"/>
  <c r="G25" i="6"/>
  <c r="H25" i="6"/>
  <c r="I25" i="6"/>
  <c r="F25" i="6"/>
  <c r="E16" i="6"/>
  <c r="J14" i="6"/>
  <c r="I14" i="6"/>
  <c r="F14" i="6"/>
  <c r="E14" i="6"/>
  <c r="F13" i="6"/>
  <c r="F12" i="6"/>
  <c r="F10" i="6"/>
  <c r="L7" i="6"/>
  <c r="H7" i="6"/>
  <c r="G7" i="6"/>
  <c r="L71" i="6"/>
  <c r="K43" i="6"/>
  <c r="K41" i="6"/>
  <c r="K39" i="6"/>
  <c r="K37" i="6"/>
  <c r="K35" i="6"/>
  <c r="L3" i="6"/>
  <c r="F62" i="6" l="1"/>
  <c r="J67" i="6"/>
  <c r="E57" i="6"/>
  <c r="J65" i="6"/>
  <c r="K45" i="6"/>
  <c r="M92" i="6"/>
  <c r="M94" i="6" s="1"/>
  <c r="F65" i="4"/>
  <c r="A6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J72" i="4"/>
  <c r="J70" i="4"/>
  <c r="J68" i="4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M74" i="4" l="1"/>
  <c r="M64" i="4"/>
  <c r="L61" i="6" s="1"/>
  <c r="M63" i="4"/>
  <c r="L60" i="6" s="1"/>
  <c r="L55" i="6"/>
  <c r="L54" i="6"/>
  <c r="L53" i="6"/>
  <c r="L52" i="6"/>
  <c r="G44" i="6"/>
  <c r="G42" i="6"/>
  <c r="G41" i="6"/>
  <c r="G40" i="6"/>
  <c r="G39" i="6"/>
  <c r="G38" i="6"/>
  <c r="G37" i="6"/>
  <c r="M59" i="4" l="1"/>
  <c r="L73" i="6"/>
  <c r="M65" i="4"/>
  <c r="L62" i="6" s="1"/>
  <c r="F12" i="3"/>
  <c r="F11" i="3"/>
  <c r="H11" i="3" s="1"/>
  <c r="C11" i="3" s="1"/>
  <c r="C36" i="3" s="1"/>
  <c r="F10" i="3"/>
  <c r="H10" i="3" s="1"/>
  <c r="C10" i="3" s="1"/>
  <c r="F9" i="3"/>
  <c r="F8" i="3"/>
  <c r="H8" i="3" s="1"/>
  <c r="C8" i="3" s="1"/>
  <c r="C35" i="3" s="1"/>
  <c r="M38" i="4" s="1"/>
  <c r="F7" i="3"/>
  <c r="F6" i="3"/>
  <c r="H6" i="3" s="1"/>
  <c r="C6" i="3" s="1"/>
  <c r="C34" i="3" s="1"/>
  <c r="F5" i="3"/>
  <c r="F4" i="3"/>
  <c r="H4" i="3" s="1"/>
  <c r="C4" i="3" s="1"/>
  <c r="F3" i="3"/>
  <c r="F2" i="3"/>
  <c r="M60" i="4" l="1"/>
  <c r="L57" i="6" s="1"/>
  <c r="H2" i="3"/>
  <c r="C2" i="3"/>
  <c r="C32" i="3" s="1"/>
  <c r="M35" i="4" s="1"/>
  <c r="L34" i="6" s="1"/>
  <c r="M37" i="4"/>
  <c r="L36" i="6" s="1"/>
  <c r="L43" i="6"/>
  <c r="M39" i="4"/>
  <c r="L38" i="6" s="1"/>
  <c r="L56" i="6"/>
  <c r="L40" i="6"/>
  <c r="L42" i="6"/>
  <c r="H3" i="3"/>
  <c r="C3" i="3" s="1"/>
  <c r="H5" i="3"/>
  <c r="C5" i="3" s="1"/>
  <c r="H7" i="3"/>
  <c r="C7" i="3" s="1"/>
  <c r="H9" i="3"/>
  <c r="C9" i="3" s="1"/>
  <c r="H12" i="3"/>
  <c r="C12" i="3" s="1"/>
  <c r="L34" i="9" l="1"/>
  <c r="M36" i="9"/>
  <c r="M35" i="9"/>
  <c r="L35" i="9"/>
  <c r="C33" i="3"/>
  <c r="M36" i="4" s="1"/>
  <c r="L41" i="6"/>
  <c r="L37" i="6"/>
  <c r="L44" i="6"/>
  <c r="L39" i="6"/>
  <c r="L35" i="6" l="1"/>
  <c r="M48" i="4"/>
  <c r="M49" i="4" s="1"/>
  <c r="M68" i="4"/>
  <c r="L65" i="6" s="1"/>
  <c r="L64" i="6"/>
  <c r="L70" i="6" l="1"/>
  <c r="L45" i="6"/>
  <c r="M69" i="4"/>
  <c r="L66" i="6" s="1"/>
  <c r="M71" i="4"/>
  <c r="M73" i="4" s="1"/>
  <c r="L68" i="6" l="1"/>
  <c r="M72" i="4"/>
  <c r="L69" i="6" s="1"/>
  <c r="M70" i="4"/>
  <c r="L67" i="6" s="1"/>
  <c r="L46" i="6"/>
  <c r="L92" i="6" l="1"/>
  <c r="M126" i="4"/>
  <c r="M127" i="4" l="1"/>
  <c r="M129" i="4" s="1"/>
  <c r="H24" i="4" s="1"/>
  <c r="L39" i="9"/>
  <c r="M23" i="4" l="1"/>
  <c r="F24" i="6"/>
  <c r="L27" i="6" l="1"/>
  <c r="L94" i="6" s="1"/>
  <c r="M131" i="4"/>
</calcChain>
</file>

<file path=xl/sharedStrings.xml><?xml version="1.0" encoding="utf-8"?>
<sst xmlns="http://schemas.openxmlformats.org/spreadsheetml/2006/main" count="434" uniqueCount="285">
  <si>
    <t>Kielce, dnia</t>
  </si>
  <si>
    <t>KOSZTORYS STUDIÓW NIESTACJONARNYCH</t>
  </si>
  <si>
    <t>KOSZTORYS STUDIÓW PODYPLOMOWYCH</t>
  </si>
  <si>
    <t>Nr</t>
  </si>
  <si>
    <t>aneks nr</t>
  </si>
  <si>
    <t>-----------------------</t>
  </si>
  <si>
    <t>KOSZTORYS KURSU DOKSZTAŁCAJĄCEGO</t>
  </si>
  <si>
    <t>----------------------------------------------------------------</t>
  </si>
  <si>
    <t>STYCZEŃ</t>
  </si>
  <si>
    <t>LUTY</t>
  </si>
  <si>
    <t>miesiąc</t>
  </si>
  <si>
    <t>rok</t>
  </si>
  <si>
    <t>WYDZIAŁ HUMANISTYCZNY</t>
  </si>
  <si>
    <t>WYDZIAŁ MATEMATYCZNO - PRZYRODNICZY</t>
  </si>
  <si>
    <t>MARZEC</t>
  </si>
  <si>
    <t>WYDZIAŁ PEDAGOGICZNY I ARTYSTYCZNY</t>
  </si>
  <si>
    <t>INSTYTUT HISTORII</t>
  </si>
  <si>
    <t>KWIECIEŃ</t>
  </si>
  <si>
    <t>WYDZIAŁ NAUK O ZDROWIU</t>
  </si>
  <si>
    <t>I. PLANOWANE PRZYCHODY</t>
  </si>
  <si>
    <t>[w złotych]</t>
  </si>
  <si>
    <t>MAJ</t>
  </si>
  <si>
    <t>WYDZIAŁ ZARZĄDZANIA I ADMINISTRACJI</t>
  </si>
  <si>
    <t>CZERWIEC</t>
  </si>
  <si>
    <t>LIPIEC</t>
  </si>
  <si>
    <t>INSTYTUT FIZYKI</t>
  </si>
  <si>
    <t>SIERPIEŃ</t>
  </si>
  <si>
    <t>INSTYTUT CHEMII</t>
  </si>
  <si>
    <t>Liczba uczestników:</t>
  </si>
  <si>
    <t>WRZESIEŃ</t>
  </si>
  <si>
    <t>INSTYTUT BIOLOGII</t>
  </si>
  <si>
    <t>LISTOPAD</t>
  </si>
  <si>
    <t>(kwota)</t>
  </si>
  <si>
    <t>GRUDZIEŃ</t>
  </si>
  <si>
    <t>stanowisko</t>
  </si>
  <si>
    <t>INSTYTUT NAUK POLITYCZNYCH</t>
  </si>
  <si>
    <t xml:space="preserve">INSTYTUT ZARZĄDZANIA </t>
  </si>
  <si>
    <t>Odpis na ZFŚS</t>
  </si>
  <si>
    <t>PENSUM</t>
  </si>
  <si>
    <t>PONADWYMIAROWE</t>
  </si>
  <si>
    <t>Liczba godzin</t>
  </si>
  <si>
    <t>Stawka za godz.</t>
  </si>
  <si>
    <t>Razem:</t>
  </si>
  <si>
    <t>pracownicy UJK</t>
  </si>
  <si>
    <t>pracownicy "obcy"</t>
  </si>
  <si>
    <t>według obowiązujących stawek; dotyczy pracowników UJK niebędących nauczycielami</t>
  </si>
  <si>
    <t>a)</t>
  </si>
  <si>
    <t>OGÓŁEM KOSZTY:</t>
  </si>
  <si>
    <t>dziekan wydziału</t>
  </si>
  <si>
    <t>kwestor</t>
  </si>
  <si>
    <t>doktor habilitowany</t>
  </si>
  <si>
    <t>doktor</t>
  </si>
  <si>
    <t>magister</t>
  </si>
  <si>
    <t>liczba etatów</t>
  </si>
  <si>
    <t>prof.</t>
  </si>
  <si>
    <t>profesor zw.</t>
  </si>
  <si>
    <t>profesor nadzw.</t>
  </si>
  <si>
    <t>adiunkt</t>
  </si>
  <si>
    <t>dr hab.</t>
  </si>
  <si>
    <t>dr</t>
  </si>
  <si>
    <t>asystent</t>
  </si>
  <si>
    <t>starszy wykładowca</t>
  </si>
  <si>
    <t>tytuł / stopień naukowy</t>
  </si>
  <si>
    <t>wykładowca</t>
  </si>
  <si>
    <t>lektor, instruktor</t>
  </si>
  <si>
    <t>mgr</t>
  </si>
  <si>
    <t>kierunek</t>
  </si>
  <si>
    <t>Jednostka prowadząca</t>
  </si>
  <si>
    <t>Wydział</t>
  </si>
  <si>
    <t>według obowiązujących stawek</t>
  </si>
  <si>
    <t xml:space="preserve">    koszty ZUS</t>
  </si>
  <si>
    <t>profesor</t>
  </si>
  <si>
    <t>koszty ZUS</t>
  </si>
  <si>
    <t>Wynagrodzenia za zajęcia - NAUCZYCIELE UJK</t>
  </si>
  <si>
    <t>Wynagrodzenia za zajęcia - PRACOWNICY NIEBĘDĄCY NAUCZYCIELAMI UJK (umowy o dzieło/zlecenie)</t>
  </si>
  <si>
    <t>studia drugiego stopnia</t>
  </si>
  <si>
    <t>studia pierwszego stopnia</t>
  </si>
  <si>
    <t>jednolite studia magisterskie</t>
  </si>
  <si>
    <t>WYDZIAŁ NAUK SPOŁECZNYCH</t>
  </si>
  <si>
    <t>WYDZIAŁ FILOLOGICZNO - HISTORYCZNY</t>
  </si>
  <si>
    <t>Administracja</t>
  </si>
  <si>
    <t>Bezpieczeństwo narodowe</t>
  </si>
  <si>
    <t>Biotechnologia</t>
  </si>
  <si>
    <t>Dziennikarstwo i komunikacja społeczna</t>
  </si>
  <si>
    <t>Fizyka techniczna</t>
  </si>
  <si>
    <t>Informatyka</t>
  </si>
  <si>
    <t>Informatyka i ekonometria</t>
  </si>
  <si>
    <t>Logistyka</t>
  </si>
  <si>
    <t>Praca socjalna</t>
  </si>
  <si>
    <t>Ratownictwo medyczne</t>
  </si>
  <si>
    <t>Rosjoznawstwo</t>
  </si>
  <si>
    <t>Socjologia</t>
  </si>
  <si>
    <t>Wzornictwo</t>
  </si>
  <si>
    <t>Biologia</t>
  </si>
  <si>
    <t>Chemia</t>
  </si>
  <si>
    <t>Edukacja artystyczna w zakresie sztuki muzycznej</t>
  </si>
  <si>
    <t>Edukacja artystyczna w zakresie sztuk plastycznych</t>
  </si>
  <si>
    <t>Ekonomia</t>
  </si>
  <si>
    <t>Filologia polska</t>
  </si>
  <si>
    <t>Fizjoterapia</t>
  </si>
  <si>
    <t>Fizyka</t>
  </si>
  <si>
    <t>Geografia</t>
  </si>
  <si>
    <t>Historia</t>
  </si>
  <si>
    <t>Informacja naukowa i bibliotekoznawstwo</t>
  </si>
  <si>
    <t>Matematyka</t>
  </si>
  <si>
    <t>Ochrona Środowiska</t>
  </si>
  <si>
    <t>Pedagogika</t>
  </si>
  <si>
    <t>Pielęgniarstwo</t>
  </si>
  <si>
    <t>Politologia</t>
  </si>
  <si>
    <t>Położnictwo</t>
  </si>
  <si>
    <t>Stosunki międzynarodowe</t>
  </si>
  <si>
    <t>Zarządzanie</t>
  </si>
  <si>
    <t>Zdrowie publiczne</t>
  </si>
  <si>
    <t>PAŹDZIERNIK</t>
  </si>
  <si>
    <t>/    2022</t>
  </si>
  <si>
    <t>Filologia</t>
  </si>
  <si>
    <t xml:space="preserve">Nazwa studiów podyplomowych / kursu: </t>
  </si>
  <si>
    <r>
      <t xml:space="preserve">Instytut </t>
    </r>
    <r>
      <rPr>
        <sz val="11"/>
        <rFont val="Arial"/>
        <family val="2"/>
        <charset val="238"/>
      </rPr>
      <t>(jednostka prowadząca)</t>
    </r>
    <r>
      <rPr>
        <sz val="11"/>
        <rFont val="Arial"/>
        <family val="2"/>
        <charset val="238"/>
      </rPr>
      <t xml:space="preserve"> :</t>
    </r>
  </si>
  <si>
    <t xml:space="preserve">Wydział / Jednostka Międzywydziałowa: </t>
  </si>
  <si>
    <r>
      <t xml:space="preserve">Czas trwania studiów / kursu: </t>
    </r>
    <r>
      <rPr>
        <b/>
        <sz val="11"/>
        <color indexed="12"/>
        <rFont val="Arial"/>
        <family val="2"/>
        <charset val="238"/>
      </rPr>
      <t/>
    </r>
  </si>
  <si>
    <t>(ilość semestrów / liczba godzin)</t>
  </si>
  <si>
    <r>
      <t xml:space="preserve">Termin rozpoczęcia: </t>
    </r>
    <r>
      <rPr>
        <i/>
        <sz val="11"/>
        <rFont val="Arial"/>
        <family val="2"/>
        <charset val="238"/>
      </rPr>
      <t/>
    </r>
  </si>
  <si>
    <r>
      <t xml:space="preserve">Termin zakończenia: </t>
    </r>
    <r>
      <rPr>
        <i/>
        <sz val="11"/>
        <rFont val="Arial"/>
        <family val="2"/>
        <charset val="238"/>
      </rPr>
      <t/>
    </r>
  </si>
  <si>
    <t>Łączna liczba godzin:</t>
  </si>
  <si>
    <t>semestr I</t>
  </si>
  <si>
    <t>semestr II</t>
  </si>
  <si>
    <t>semestr III</t>
  </si>
  <si>
    <t>semestr IV</t>
  </si>
  <si>
    <t>1.</t>
  </si>
  <si>
    <t>Opłata semestralna:</t>
  </si>
  <si>
    <t>2.</t>
  </si>
  <si>
    <t>3.</t>
  </si>
  <si>
    <t>Całkowity przychód studiów:</t>
  </si>
  <si>
    <t>II. PLANOWANE KOSZTY</t>
  </si>
  <si>
    <t>b)</t>
  </si>
  <si>
    <t>godzin</t>
  </si>
  <si>
    <t>zł za godzinę</t>
  </si>
  <si>
    <t>c)</t>
  </si>
  <si>
    <t xml:space="preserve">koszty ZUS </t>
  </si>
  <si>
    <t xml:space="preserve"> (według obowiązujących stawek)</t>
  </si>
  <si>
    <t xml:space="preserve"> Wynagrodzenie urlopowe z godz.ponadwymiarowych</t>
  </si>
  <si>
    <t>dr hab. (prof. uczelnianego)</t>
  </si>
  <si>
    <t>adiunkt z tyt. dr habn</t>
  </si>
  <si>
    <t>Dodatkowe wynagrodzenie roczne "13-tka"</t>
  </si>
  <si>
    <t>adiunkta</t>
  </si>
  <si>
    <t>st.wykładowcy z tyt. dr</t>
  </si>
  <si>
    <t>Fundusz nagród</t>
  </si>
  <si>
    <t>st.wykładowcy</t>
  </si>
  <si>
    <t>asystenta</t>
  </si>
  <si>
    <t>wykładowcy, lektora, instruktora</t>
  </si>
  <si>
    <t>Koszty pośrednie:</t>
  </si>
  <si>
    <t>wydziałowe</t>
  </si>
  <si>
    <t>Imię Nazwisko oraz numer telefonu</t>
  </si>
  <si>
    <t>kierownika studiów podyplomowych / kursu dokształcającego</t>
  </si>
  <si>
    <t>za semestr</t>
  </si>
  <si>
    <t>4.</t>
  </si>
  <si>
    <t>5.</t>
  </si>
  <si>
    <t>6.</t>
  </si>
  <si>
    <t>7.</t>
  </si>
  <si>
    <t>8.</t>
  </si>
  <si>
    <t>9.</t>
  </si>
  <si>
    <t>Inne koszty związane z prowadzeniem studiów podyplomowych:</t>
  </si>
  <si>
    <t>lp</t>
  </si>
  <si>
    <t>PLAN</t>
  </si>
  <si>
    <t>WYKONANIE</t>
  </si>
  <si>
    <t>Nazwisko</t>
  </si>
  <si>
    <t xml:space="preserve">Imię </t>
  </si>
  <si>
    <t>Uwagi</t>
  </si>
  <si>
    <t>Załącznik Nr 4 do Zarządzenia Nr 89/2011 z dn. 25-11-2011</t>
  </si>
  <si>
    <t>profesor nadzwyczajny</t>
  </si>
  <si>
    <t>profesor zwyczajny</t>
  </si>
  <si>
    <r>
      <t xml:space="preserve">Wynagrodzenie za kierownie studiami / kursem   </t>
    </r>
    <r>
      <rPr>
        <i/>
        <sz val="9"/>
        <rFont val="Arial"/>
        <family val="2"/>
        <charset val="238"/>
      </rPr>
      <t>(umowa - zlecenie)</t>
    </r>
  </si>
  <si>
    <t>/    2023</t>
  </si>
  <si>
    <t>/    2024</t>
  </si>
  <si>
    <t>/    2025</t>
  </si>
  <si>
    <t>/    2026</t>
  </si>
  <si>
    <t>rok 2</t>
  </si>
  <si>
    <t>rok 3</t>
  </si>
  <si>
    <t>rok 4</t>
  </si>
  <si>
    <t>Kierunek:</t>
  </si>
  <si>
    <t>(ilość lat)</t>
  </si>
  <si>
    <t>Opłata roczna:</t>
  </si>
  <si>
    <t>rok 1</t>
  </si>
  <si>
    <t>Wynagrodzenie za kierownie studiami / kursem   (umowa - zlecenie)</t>
  </si>
  <si>
    <t>----------------------------------</t>
  </si>
  <si>
    <t>Pozostałe koszty:</t>
  </si>
  <si>
    <t>III. SALDO KOŃCOWE STUDIÓW :</t>
  </si>
  <si>
    <t>osoby sporządzającej kosztorys</t>
  </si>
  <si>
    <t>ogólnego zarządu; strategia rozwoju</t>
  </si>
  <si>
    <t>rok 5</t>
  </si>
  <si>
    <t>semestr V</t>
  </si>
  <si>
    <t>III. SALDO KOŃCOWE STUDIÓW / KURSU  (obowiązkowe minimalne saldo końcowe przy uruchomieniu, minimum 15% przychodów) :</t>
  </si>
  <si>
    <t>Prorektor do Spraw Studenckich i Kształcenia</t>
  </si>
  <si>
    <t>Opłata za rok:</t>
  </si>
  <si>
    <t>Współczynnik zmniejszenia</t>
  </si>
  <si>
    <t>Planowana liczba studentów</t>
  </si>
  <si>
    <t xml:space="preserve">Planowana liczba specjalności </t>
  </si>
  <si>
    <t xml:space="preserve">profesor </t>
  </si>
  <si>
    <t>Wydział :</t>
  </si>
  <si>
    <r>
      <t>Instytut</t>
    </r>
    <r>
      <rPr>
        <sz val="11"/>
        <rFont val="Arial"/>
        <family val="2"/>
        <charset val="238"/>
      </rPr>
      <t xml:space="preserve"> :</t>
    </r>
  </si>
  <si>
    <t>liczba godzin         ( W )</t>
  </si>
  <si>
    <t>liczba godzin                     ( WS;C;J )</t>
  </si>
  <si>
    <t>liczba godzin                   ( L;S )</t>
  </si>
  <si>
    <t>liczba studentów w grupie</t>
  </si>
  <si>
    <t>liczba godzin           ( LS)</t>
  </si>
  <si>
    <t>liczba godzin             ( SD )</t>
  </si>
  <si>
    <t>liczba godzin             ( P )</t>
  </si>
  <si>
    <t>liczba godzin             ( PZ )</t>
  </si>
  <si>
    <t>OFP</t>
  </si>
  <si>
    <t>BFP</t>
  </si>
  <si>
    <t>( W )</t>
  </si>
  <si>
    <t xml:space="preserve"> ( WS;C;J )</t>
  </si>
  <si>
    <t>( L;S )</t>
  </si>
  <si>
    <t>( LS)</t>
  </si>
  <si>
    <t>( SD )</t>
  </si>
  <si>
    <t>( P )</t>
  </si>
  <si>
    <t>( PZ )</t>
  </si>
  <si>
    <t>wykładowca;lektor;instruktor</t>
  </si>
  <si>
    <t>Kierunek :</t>
  </si>
  <si>
    <t>ponadwym</t>
  </si>
  <si>
    <t>pensum</t>
  </si>
  <si>
    <t>profesor uczelni</t>
  </si>
  <si>
    <r>
      <t xml:space="preserve">Czas trwania studiów                </t>
    </r>
    <r>
      <rPr>
        <sz val="9"/>
        <rFont val="Arial"/>
        <family val="2"/>
        <charset val="238"/>
      </rPr>
      <t>(liczba semestrów)</t>
    </r>
  </si>
  <si>
    <t>według obowiązujących stawek;</t>
  </si>
  <si>
    <t>WYDZIAŁ PEDAGOGIKI I PSYCHOLOGII</t>
  </si>
  <si>
    <t>WYDZIAŁ PRAWA I NAUK SPOŁECZNYCH</t>
  </si>
  <si>
    <t>WYDZIAŁ SZTUKI</t>
  </si>
  <si>
    <t>FILIA W SANDOMIERZU</t>
  </si>
  <si>
    <t>----------------------------------------------------------------------</t>
  </si>
  <si>
    <t>INSTYTUT GEOGRAFII I NAUK O ŚRODOWISKU</t>
  </si>
  <si>
    <t>INSTYTUT LITERATUROZNASTWA I JĘZYKOZNAWSTWA</t>
  </si>
  <si>
    <t>INSTYTUT NAUK MEDYCZNYCH</t>
  </si>
  <si>
    <t>INSTYTUT NAUK O ZDROWIU</t>
  </si>
  <si>
    <t>INSTYTUT NAUK PRAWNYCH</t>
  </si>
  <si>
    <t>INSTYTUT PEDAGOGIKI</t>
  </si>
  <si>
    <t>INSTYTUT STOSUNKÓW MIĘDZYNARODOWYCH I POLITYK PUBLICZNYCH</t>
  </si>
  <si>
    <t>INSTYTUT SZTUK WIZUALNYCH</t>
  </si>
  <si>
    <t>KATEDRA EKONOMII I FINANSÓW</t>
  </si>
  <si>
    <t>KATEDRA MATEMATYKI</t>
  </si>
  <si>
    <t>KATEDRA PSYCHOLOGII</t>
  </si>
  <si>
    <t>Prorektor do Spraw Kształcenia</t>
  </si>
  <si>
    <t>Łączna liczba godzin kontaktowych- studenta:</t>
  </si>
  <si>
    <t>Łączna liczba godzin kontaktowych-        UJK:</t>
  </si>
  <si>
    <t>39/2020</t>
  </si>
  <si>
    <t>zarz. Rekt</t>
  </si>
  <si>
    <t>nauka</t>
  </si>
  <si>
    <t>dudaktyka</t>
  </si>
  <si>
    <t>/    2027</t>
  </si>
  <si>
    <t>/    2028</t>
  </si>
  <si>
    <t>/    2029</t>
  </si>
  <si>
    <t>/    2030</t>
  </si>
  <si>
    <t>/    2031</t>
  </si>
  <si>
    <t>/    2032</t>
  </si>
  <si>
    <t>/    2033</t>
  </si>
  <si>
    <t>Godziny dydaktyczne realizowane w ramach umów cywilno-prawnych  - BFP</t>
  </si>
  <si>
    <t>Godziny dydaktyczne realizowane w ramach umów o pracę - OFP</t>
  </si>
  <si>
    <t>WCM</t>
  </si>
  <si>
    <t>WFP</t>
  </si>
  <si>
    <t>WFS</t>
  </si>
  <si>
    <t>WH</t>
  </si>
  <si>
    <t>WPN</t>
  </si>
  <si>
    <t>WPP</t>
  </si>
  <si>
    <t>WSP</t>
  </si>
  <si>
    <t>WS</t>
  </si>
  <si>
    <t>W</t>
  </si>
  <si>
    <t>SD</t>
  </si>
  <si>
    <t>Planowany koszt roczny w przeliczeniu  na studenta</t>
  </si>
  <si>
    <t>I.  DANE PODSTAWOWE</t>
  </si>
  <si>
    <t>KOSZTORYS STUDIÓW STACJONARNYCH</t>
  </si>
  <si>
    <t>osoby sporządzającej</t>
  </si>
  <si>
    <t>wykładowca,lektor, instruktor</t>
  </si>
  <si>
    <t>INSTYTUT MEDIÓW, DZIENNIKARSTWA I KOMUNIKACJI SPOŁECZNEJ</t>
  </si>
  <si>
    <t>INSTYTUT MUZYKI</t>
  </si>
  <si>
    <t>INSTYTUT NAUK O BEZPIECZEŃSTWIE</t>
  </si>
  <si>
    <t>INSTYTUT ZARZĄDZANIA</t>
  </si>
  <si>
    <t>WYDZIAŁ NAUK ŚCISŁYCH I PRZYRODNICZYCH</t>
  </si>
  <si>
    <t>COLLEGIUM MEDICUM</t>
  </si>
  <si>
    <t>KATEDRA NAUK FARMACEUTYCZNYCH</t>
  </si>
  <si>
    <t xml:space="preserve">w tym: </t>
  </si>
  <si>
    <t>j. ang</t>
  </si>
  <si>
    <t xml:space="preserve">Praktyki </t>
  </si>
  <si>
    <t>-</t>
  </si>
  <si>
    <t xml:space="preserve">Materiały </t>
  </si>
  <si>
    <t>inne:</t>
  </si>
  <si>
    <t>Załącznik nr 1 zarządzenia nr  7/2026 v25/26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</si>
</sst>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  <numFmt numFmtId="166" formatCode="_-* #,##0\ &quot;zł&quot;_-;\-* #,##0\ &quot;zł&quot;_-;_-* &quot;-&quot;??\ &quot;zł&quot;_-;_-@_-"/>
    <numFmt numFmtId="167" formatCode="#,##0_ ;\-#,##0\ "/>
    <numFmt numFmtId="168" formatCode="_-\ #,##0.00;\-\ #,##0.00;_-\ &quot;-&quot;??,;_-@_-"/>
  </numFmts>
  <fonts count="3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"/>
      <family val="2"/>
      <charset val="238"/>
    </font>
    <font>
      <sz val="11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color indexed="1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u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6"/>
      <name val="Arial"/>
      <family val="2"/>
      <charset val="238"/>
    </font>
    <font>
      <sz val="9"/>
      <color indexed="12"/>
      <name val="Arial CE"/>
      <family val="2"/>
      <charset val="238"/>
    </font>
    <font>
      <b/>
      <sz val="10"/>
      <color indexed="10"/>
      <name val="Arial CE"/>
      <charset val="238"/>
    </font>
    <font>
      <b/>
      <sz val="9"/>
      <name val="Arial"/>
      <family val="2"/>
      <charset val="238"/>
    </font>
    <font>
      <i/>
      <sz val="7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/>
      <right style="double">
        <color auto="1"/>
      </right>
      <top style="dotted">
        <color indexed="64"/>
      </top>
      <bottom/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</cellStyleXfs>
  <cellXfs count="346">
    <xf numFmtId="0" fontId="0" fillId="0" borderId="0" xfId="0"/>
    <xf numFmtId="0" fontId="20" fillId="0" borderId="0" xfId="0" applyFont="1" applyAlignment="1">
      <alignment horizontal="center"/>
    </xf>
    <xf numFmtId="3" fontId="16" fillId="0" borderId="0" xfId="0" applyNumberFormat="1" applyFont="1"/>
    <xf numFmtId="0" fontId="0" fillId="0" borderId="9" xfId="0" applyBorder="1"/>
    <xf numFmtId="1" fontId="16" fillId="0" borderId="0" xfId="3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9" fontId="0" fillId="0" borderId="24" xfId="0" applyNumberFormat="1" applyBorder="1"/>
    <xf numFmtId="0" fontId="0" fillId="0" borderId="25" xfId="0" applyBorder="1"/>
    <xf numFmtId="0" fontId="0" fillId="0" borderId="0" xfId="0" quotePrefix="1"/>
    <xf numFmtId="0" fontId="0" fillId="0" borderId="26" xfId="0" applyBorder="1"/>
    <xf numFmtId="9" fontId="0" fillId="0" borderId="0" xfId="0" applyNumberFormat="1"/>
    <xf numFmtId="0" fontId="0" fillId="0" borderId="27" xfId="0" applyBorder="1"/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49" fontId="24" fillId="0" borderId="0" xfId="1" applyNumberFormat="1" applyFont="1" applyFill="1" applyAlignment="1" applyProtection="1">
      <alignment horizontal="left" indent="1"/>
    </xf>
    <xf numFmtId="49" fontId="0" fillId="0" borderId="0" xfId="0" applyNumberFormat="1"/>
    <xf numFmtId="0" fontId="0" fillId="0" borderId="28" xfId="0" applyBorder="1"/>
    <xf numFmtId="0" fontId="0" fillId="0" borderId="29" xfId="0" applyBorder="1"/>
    <xf numFmtId="9" fontId="0" fillId="0" borderId="29" xfId="0" applyNumberFormat="1" applyBorder="1"/>
    <xf numFmtId="0" fontId="0" fillId="0" borderId="30" xfId="0" applyBorder="1"/>
    <xf numFmtId="49" fontId="0" fillId="0" borderId="0" xfId="0" applyNumberFormat="1" applyAlignment="1">
      <alignment vertical="center"/>
    </xf>
    <xf numFmtId="0" fontId="6" fillId="0" borderId="0" xfId="0" applyFont="1"/>
    <xf numFmtId="0" fontId="18" fillId="0" borderId="0" xfId="2" applyFont="1"/>
    <xf numFmtId="0" fontId="17" fillId="0" borderId="0" xfId="2"/>
    <xf numFmtId="166" fontId="25" fillId="0" borderId="0" xfId="4" applyNumberFormat="1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/>
    </xf>
    <xf numFmtId="10" fontId="0" fillId="0" borderId="0" xfId="0" applyNumberFormat="1"/>
    <xf numFmtId="44" fontId="14" fillId="0" borderId="9" xfId="4" applyFont="1" applyFill="1" applyBorder="1" applyProtection="1"/>
    <xf numFmtId="0" fontId="14" fillId="2" borderId="9" xfId="5" applyFont="1" applyFill="1" applyBorder="1" applyAlignment="1" applyProtection="1">
      <alignment horizontal="center"/>
      <protection locked="0"/>
    </xf>
    <xf numFmtId="10" fontId="26" fillId="0" borderId="1" xfId="5" applyNumberFormat="1" applyBorder="1" applyAlignment="1">
      <alignment horizontal="center" vertical="center" wrapText="1"/>
    </xf>
    <xf numFmtId="164" fontId="4" fillId="0" borderId="8" xfId="5" applyNumberFormat="1" applyFont="1" applyBorder="1"/>
    <xf numFmtId="0" fontId="5" fillId="0" borderId="11" xfId="5" applyFont="1" applyBorder="1" applyAlignment="1">
      <alignment horizontal="center"/>
    </xf>
    <xf numFmtId="0" fontId="26" fillId="0" borderId="10" xfId="5" applyBorder="1"/>
    <xf numFmtId="164" fontId="4" fillId="0" borderId="54" xfId="5" applyNumberFormat="1" applyFont="1" applyBorder="1" applyAlignment="1">
      <alignment vertical="center"/>
    </xf>
    <xf numFmtId="164" fontId="4" fillId="0" borderId="37" xfId="5" applyNumberFormat="1" applyFont="1" applyBorder="1" applyAlignment="1">
      <alignment vertical="center"/>
    </xf>
    <xf numFmtId="164" fontId="4" fillId="0" borderId="38" xfId="5" applyNumberFormat="1" applyFont="1" applyBorder="1" applyAlignment="1">
      <alignment vertical="center"/>
    </xf>
    <xf numFmtId="0" fontId="6" fillId="0" borderId="0" xfId="5" applyFont="1" applyAlignment="1">
      <alignment horizontal="right"/>
    </xf>
    <xf numFmtId="49" fontId="7" fillId="0" borderId="11" xfId="5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6" fillId="3" borderId="0" xfId="5" applyFill="1"/>
    <xf numFmtId="0" fontId="26" fillId="3" borderId="0" xfId="5" applyFill="1" applyAlignment="1">
      <alignment vertical="center"/>
    </xf>
    <xf numFmtId="0" fontId="3" fillId="3" borderId="0" xfId="5" applyFont="1" applyFill="1"/>
    <xf numFmtId="0" fontId="1" fillId="3" borderId="0" xfId="5" applyFont="1" applyFill="1"/>
    <xf numFmtId="0" fontId="27" fillId="3" borderId="0" xfId="5" applyFont="1" applyFill="1"/>
    <xf numFmtId="49" fontId="26" fillId="3" borderId="0" xfId="5" applyNumberFormat="1" applyFill="1"/>
    <xf numFmtId="49" fontId="12" fillId="3" borderId="0" xfId="1" applyNumberFormat="1" applyFill="1" applyAlignment="1" applyProtection="1">
      <alignment horizontal="left" indent="1"/>
    </xf>
    <xf numFmtId="49" fontId="26" fillId="3" borderId="0" xfId="5" applyNumberFormat="1" applyFill="1" applyAlignment="1">
      <alignment vertical="center"/>
    </xf>
    <xf numFmtId="3" fontId="19" fillId="3" borderId="0" xfId="5" applyNumberFormat="1" applyFont="1" applyFill="1"/>
    <xf numFmtId="0" fontId="16" fillId="3" borderId="0" xfId="5" applyFont="1" applyFill="1" applyAlignment="1">
      <alignment horizontal="center"/>
    </xf>
    <xf numFmtId="0" fontId="20" fillId="3" borderId="0" xfId="5" applyFont="1" applyFill="1" applyAlignment="1">
      <alignment horizontal="center"/>
    </xf>
    <xf numFmtId="3" fontId="16" fillId="3" borderId="0" xfId="5" applyNumberFormat="1" applyFont="1" applyFill="1"/>
    <xf numFmtId="9" fontId="26" fillId="3" borderId="0" xfId="5" applyNumberFormat="1" applyFill="1"/>
    <xf numFmtId="10" fontId="26" fillId="3" borderId="0" xfId="5" applyNumberFormat="1" applyFill="1"/>
    <xf numFmtId="164" fontId="26" fillId="3" borderId="0" xfId="5" applyNumberFormat="1" applyFill="1"/>
    <xf numFmtId="166" fontId="29" fillId="3" borderId="44" xfId="4" applyNumberFormat="1" applyFont="1" applyFill="1" applyBorder="1" applyAlignment="1">
      <alignment horizontal="center"/>
    </xf>
    <xf numFmtId="166" fontId="30" fillId="3" borderId="40" xfId="4" applyNumberFormat="1" applyFont="1" applyFill="1" applyBorder="1" applyAlignment="1">
      <alignment horizontal="center"/>
    </xf>
    <xf numFmtId="0" fontId="17" fillId="3" borderId="0" xfId="2" applyFill="1"/>
    <xf numFmtId="49" fontId="12" fillId="3" borderId="0" xfId="1" applyNumberFormat="1" applyFill="1" applyAlignment="1" applyProtection="1"/>
    <xf numFmtId="166" fontId="29" fillId="3" borderId="33" xfId="4" applyNumberFormat="1" applyFont="1" applyFill="1" applyBorder="1" applyAlignment="1">
      <alignment horizontal="center"/>
    </xf>
    <xf numFmtId="166" fontId="30" fillId="3" borderId="34" xfId="4" applyNumberFormat="1" applyFont="1" applyFill="1" applyBorder="1" applyAlignment="1">
      <alignment horizontal="center"/>
    </xf>
    <xf numFmtId="0" fontId="4" fillId="3" borderId="0" xfId="5" applyFont="1" applyFill="1"/>
    <xf numFmtId="0" fontId="26" fillId="0" borderId="5" xfId="5" applyBorder="1"/>
    <xf numFmtId="0" fontId="26" fillId="0" borderId="6" xfId="5" applyBorder="1"/>
    <xf numFmtId="0" fontId="2" fillId="0" borderId="7" xfId="5" applyFont="1" applyBorder="1" applyAlignment="1">
      <alignment horizontal="right"/>
    </xf>
    <xf numFmtId="0" fontId="3" fillId="0" borderId="0" xfId="5" applyFont="1"/>
    <xf numFmtId="0" fontId="26" fillId="0" borderId="0" xfId="5"/>
    <xf numFmtId="0" fontId="4" fillId="0" borderId="0" xfId="5" applyFont="1" applyAlignment="1">
      <alignment horizontal="right"/>
    </xf>
    <xf numFmtId="14" fontId="4" fillId="0" borderId="11" xfId="5" applyNumberFormat="1" applyFont="1" applyBorder="1" applyAlignment="1">
      <alignment horizontal="center"/>
    </xf>
    <xf numFmtId="0" fontId="26" fillId="0" borderId="11" xfId="5" applyBorder="1"/>
    <xf numFmtId="0" fontId="5" fillId="0" borderId="10" xfId="5" applyFont="1" applyBorder="1" applyAlignment="1">
      <alignment horizontal="right"/>
    </xf>
    <xf numFmtId="0" fontId="5" fillId="0" borderId="0" xfId="5" applyFont="1" applyAlignment="1">
      <alignment horizontal="right"/>
    </xf>
    <xf numFmtId="0" fontId="5" fillId="0" borderId="10" xfId="5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5" applyFont="1" applyAlignment="1">
      <alignment horizontal="right"/>
    </xf>
    <xf numFmtId="0" fontId="10" fillId="0" borderId="0" xfId="5" applyFont="1" applyAlignment="1">
      <alignment horizontal="center"/>
    </xf>
    <xf numFmtId="0" fontId="10" fillId="0" borderId="0" xfId="5" applyFont="1"/>
    <xf numFmtId="0" fontId="4" fillId="0" borderId="0" xfId="5" applyFont="1"/>
    <xf numFmtId="0" fontId="4" fillId="0" borderId="11" xfId="5" applyFont="1" applyBorder="1"/>
    <xf numFmtId="0" fontId="9" fillId="0" borderId="0" xfId="5" applyFont="1" applyAlignment="1">
      <alignment horizontal="center"/>
    </xf>
    <xf numFmtId="0" fontId="4" fillId="0" borderId="10" xfId="5" applyFont="1" applyBorder="1"/>
    <xf numFmtId="0" fontId="28" fillId="0" borderId="0" xfId="5" applyFont="1" applyAlignment="1">
      <alignment horizontal="center"/>
    </xf>
    <xf numFmtId="0" fontId="28" fillId="0" borderId="0" xfId="5" applyFont="1"/>
    <xf numFmtId="0" fontId="1" fillId="0" borderId="0" xfId="5" applyFont="1" applyAlignment="1">
      <alignment horizontal="right"/>
    </xf>
    <xf numFmtId="0" fontId="26" fillId="0" borderId="0" xfId="5" applyAlignment="1">
      <alignment horizontal="center"/>
    </xf>
    <xf numFmtId="0" fontId="13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horizontal="center" vertical="center"/>
    </xf>
    <xf numFmtId="0" fontId="26" fillId="0" borderId="5" xfId="5" applyBorder="1" applyAlignment="1">
      <alignment vertical="center"/>
    </xf>
    <xf numFmtId="0" fontId="26" fillId="0" borderId="6" xfId="5" applyBorder="1" applyAlignment="1">
      <alignment vertical="center"/>
    </xf>
    <xf numFmtId="0" fontId="26" fillId="0" borderId="0" xfId="5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13" fillId="0" borderId="1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15" fillId="0" borderId="11" xfId="5" applyFont="1" applyBorder="1" applyAlignment="1">
      <alignment horizontal="right"/>
    </xf>
    <xf numFmtId="0" fontId="1" fillId="0" borderId="8" xfId="5" applyFont="1" applyBorder="1" applyAlignment="1">
      <alignment horizontal="center"/>
    </xf>
    <xf numFmtId="49" fontId="4" fillId="0" borderId="10" xfId="5" applyNumberFormat="1" applyFont="1" applyBorder="1" applyAlignment="1">
      <alignment horizontal="right" vertical="center"/>
    </xf>
    <xf numFmtId="0" fontId="4" fillId="0" borderId="12" xfId="5" applyFont="1" applyBorder="1"/>
    <xf numFmtId="0" fontId="4" fillId="0" borderId="13" xfId="5" applyFont="1" applyBorder="1"/>
    <xf numFmtId="0" fontId="4" fillId="0" borderId="14" xfId="5" applyFont="1" applyBorder="1"/>
    <xf numFmtId="0" fontId="4" fillId="0" borderId="8" xfId="5" applyFont="1" applyBorder="1"/>
    <xf numFmtId="0" fontId="4" fillId="0" borderId="10" xfId="5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0" fontId="15" fillId="0" borderId="0" xfId="5" applyFont="1" applyAlignment="1">
      <alignment vertical="top"/>
    </xf>
    <xf numFmtId="0" fontId="26" fillId="0" borderId="17" xfId="5" applyBorder="1" applyAlignment="1">
      <alignment horizontal="left" vertical="center"/>
    </xf>
    <xf numFmtId="0" fontId="15" fillId="0" borderId="0" xfId="5" applyFont="1" applyAlignment="1">
      <alignment horizontal="right"/>
    </xf>
    <xf numFmtId="1" fontId="15" fillId="0" borderId="0" xfId="5" applyNumberFormat="1" applyFont="1" applyAlignment="1">
      <alignment horizontal="center"/>
    </xf>
    <xf numFmtId="164" fontId="11" fillId="0" borderId="8" xfId="5" applyNumberFormat="1" applyFont="1" applyBorder="1"/>
    <xf numFmtId="0" fontId="4" fillId="0" borderId="21" xfId="5" applyFont="1" applyBorder="1" applyAlignment="1">
      <alignment horizontal="right"/>
    </xf>
    <xf numFmtId="0" fontId="4" fillId="0" borderId="20" xfId="5" applyFont="1" applyBorder="1" applyAlignment="1">
      <alignment vertical="center"/>
    </xf>
    <xf numFmtId="0" fontId="23" fillId="0" borderId="20" xfId="5" applyFont="1" applyBorder="1" applyAlignment="1">
      <alignment horizontal="right" vertical="center"/>
    </xf>
    <xf numFmtId="164" fontId="8" fillId="0" borderId="22" xfId="5" applyNumberFormat="1" applyFont="1" applyBorder="1" applyAlignment="1">
      <alignment vertical="center"/>
    </xf>
    <xf numFmtId="0" fontId="4" fillId="0" borderId="31" xfId="5" applyFont="1" applyBorder="1" applyAlignment="1">
      <alignment horizontal="right"/>
    </xf>
    <xf numFmtId="0" fontId="4" fillId="0" borderId="19" xfId="5" applyFont="1" applyBorder="1" applyAlignment="1">
      <alignment horizontal="center"/>
    </xf>
    <xf numFmtId="0" fontId="4" fillId="0" borderId="19" xfId="5" applyFont="1" applyBorder="1"/>
    <xf numFmtId="164" fontId="4" fillId="0" borderId="32" xfId="5" applyNumberFormat="1" applyFont="1" applyBorder="1"/>
    <xf numFmtId="0" fontId="4" fillId="0" borderId="51" xfId="5" applyFont="1" applyBorder="1" applyAlignment="1">
      <alignment horizontal="right"/>
    </xf>
    <xf numFmtId="0" fontId="4" fillId="0" borderId="1" xfId="5" applyFont="1" applyBorder="1" applyAlignment="1">
      <alignment vertical="center"/>
    </xf>
    <xf numFmtId="0" fontId="23" fillId="0" borderId="1" xfId="5" applyFont="1" applyBorder="1" applyAlignment="1">
      <alignment horizontal="right" vertical="center"/>
    </xf>
    <xf numFmtId="164" fontId="22" fillId="0" borderId="38" xfId="5" applyNumberFormat="1" applyFont="1" applyBorder="1" applyAlignment="1">
      <alignment vertical="center"/>
    </xf>
    <xf numFmtId="0" fontId="26" fillId="0" borderId="53" xfId="5" applyBorder="1"/>
    <xf numFmtId="0" fontId="4" fillId="0" borderId="35" xfId="5" applyFont="1" applyBorder="1" applyAlignment="1">
      <alignment horizontal="center"/>
    </xf>
    <xf numFmtId="0" fontId="4" fillId="0" borderId="35" xfId="5" applyFont="1" applyBorder="1"/>
    <xf numFmtId="164" fontId="4" fillId="0" borderId="37" xfId="5" applyNumberFormat="1" applyFont="1" applyBorder="1"/>
    <xf numFmtId="0" fontId="4" fillId="0" borderId="1" xfId="5" applyFont="1" applyBorder="1"/>
    <xf numFmtId="0" fontId="4" fillId="0" borderId="42" xfId="5" applyFont="1" applyBorder="1"/>
    <xf numFmtId="0" fontId="4" fillId="0" borderId="36" xfId="5" applyFont="1" applyBorder="1"/>
    <xf numFmtId="0" fontId="22" fillId="0" borderId="36" xfId="5" applyFont="1" applyBorder="1" applyAlignment="1">
      <alignment horizontal="right"/>
    </xf>
    <xf numFmtId="164" fontId="22" fillId="0" borderId="43" xfId="5" applyNumberFormat="1" applyFont="1" applyBorder="1"/>
    <xf numFmtId="0" fontId="16" fillId="0" borderId="55" xfId="5" applyFont="1" applyBorder="1" applyAlignment="1">
      <alignment vertical="center" textRotation="90" wrapText="1"/>
    </xf>
    <xf numFmtId="0" fontId="26" fillId="0" borderId="39" xfId="5" applyBorder="1" applyAlignment="1">
      <alignment vertical="center" wrapText="1"/>
    </xf>
    <xf numFmtId="0" fontId="26" fillId="0" borderId="39" xfId="5" applyBorder="1"/>
    <xf numFmtId="0" fontId="4" fillId="0" borderId="56" xfId="5" applyFont="1" applyBorder="1"/>
    <xf numFmtId="0" fontId="16" fillId="0" borderId="10" xfId="5" applyFont="1" applyBorder="1" applyAlignment="1">
      <alignment vertical="center" textRotation="90" wrapText="1"/>
    </xf>
    <xf numFmtId="0" fontId="4" fillId="0" borderId="15" xfId="5" applyFont="1" applyBorder="1"/>
    <xf numFmtId="0" fontId="4" fillId="0" borderId="35" xfId="5" applyFont="1" applyBorder="1" applyAlignment="1">
      <alignment vertical="center"/>
    </xf>
    <xf numFmtId="9" fontId="9" fillId="0" borderId="15" xfId="5" applyNumberFormat="1" applyFont="1" applyBorder="1" applyAlignment="1">
      <alignment horizontal="center" vertical="center"/>
    </xf>
    <xf numFmtId="164" fontId="4" fillId="0" borderId="50" xfId="5" applyNumberFormat="1" applyFont="1" applyBorder="1" applyAlignment="1">
      <alignment vertical="center"/>
    </xf>
    <xf numFmtId="49" fontId="4" fillId="0" borderId="10" xfId="5" applyNumberFormat="1" applyFont="1" applyBorder="1" applyAlignment="1">
      <alignment vertical="top"/>
    </xf>
    <xf numFmtId="49" fontId="4" fillId="0" borderId="42" xfId="5" applyNumberFormat="1" applyFont="1" applyBorder="1" applyAlignment="1">
      <alignment vertical="top"/>
    </xf>
    <xf numFmtId="0" fontId="22" fillId="0" borderId="0" xfId="5" applyFont="1" applyAlignment="1">
      <alignment horizontal="right"/>
    </xf>
    <xf numFmtId="164" fontId="22" fillId="0" borderId="8" xfId="5" applyNumberFormat="1" applyFont="1" applyBorder="1"/>
    <xf numFmtId="164" fontId="13" fillId="0" borderId="8" xfId="5" applyNumberFormat="1" applyFont="1" applyBorder="1"/>
    <xf numFmtId="164" fontId="13" fillId="0" borderId="4" xfId="5" applyNumberFormat="1" applyFont="1" applyBorder="1" applyAlignment="1">
      <alignment vertical="center"/>
    </xf>
    <xf numFmtId="164" fontId="4" fillId="0" borderId="11" xfId="5" applyNumberFormat="1" applyFont="1" applyBorder="1"/>
    <xf numFmtId="0" fontId="20" fillId="0" borderId="0" xfId="5" applyFont="1"/>
    <xf numFmtId="0" fontId="4" fillId="0" borderId="51" xfId="5" applyFont="1" applyBorder="1"/>
    <xf numFmtId="0" fontId="4" fillId="0" borderId="0" xfId="5" applyFont="1" applyAlignment="1">
      <alignment vertical="top"/>
    </xf>
    <xf numFmtId="0" fontId="8" fillId="2" borderId="1" xfId="5" applyFont="1" applyFill="1" applyBorder="1" applyAlignment="1" applyProtection="1">
      <alignment horizontal="righ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center"/>
      <protection locked="0"/>
    </xf>
    <xf numFmtId="164" fontId="4" fillId="2" borderId="8" xfId="5" applyNumberFormat="1" applyFont="1" applyFill="1" applyBorder="1" applyProtection="1">
      <protection locked="0"/>
    </xf>
    <xf numFmtId="164" fontId="4" fillId="2" borderId="43" xfId="5" applyNumberFormat="1" applyFont="1" applyFill="1" applyBorder="1" applyProtection="1">
      <protection locked="0"/>
    </xf>
    <xf numFmtId="14" fontId="4" fillId="0" borderId="0" xfId="5" applyNumberFormat="1" applyFont="1" applyAlignment="1">
      <alignment horizontal="center"/>
    </xf>
    <xf numFmtId="49" fontId="7" fillId="0" borderId="0" xfId="5" applyNumberFormat="1" applyFont="1" applyAlignment="1">
      <alignment horizontal="center"/>
    </xf>
    <xf numFmtId="164" fontId="4" fillId="0" borderId="0" xfId="5" applyNumberFormat="1" applyFont="1"/>
    <xf numFmtId="0" fontId="9" fillId="0" borderId="11" xfId="5" quotePrefix="1" applyFont="1" applyBorder="1" applyAlignment="1" applyProtection="1">
      <alignment horizontal="left"/>
      <protection locked="0"/>
    </xf>
    <xf numFmtId="0" fontId="4" fillId="0" borderId="13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6" xfId="5" applyFont="1" applyBorder="1"/>
    <xf numFmtId="0" fontId="4" fillId="0" borderId="7" xfId="5" applyFont="1" applyBorder="1"/>
    <xf numFmtId="0" fontId="8" fillId="0" borderId="1" xfId="5" applyFont="1" applyBorder="1" applyAlignment="1">
      <alignment horizontal="right"/>
    </xf>
    <xf numFmtId="0" fontId="9" fillId="0" borderId="1" xfId="5" applyFont="1" applyBorder="1" applyAlignment="1">
      <alignment horizontal="left"/>
    </xf>
    <xf numFmtId="0" fontId="9" fillId="0" borderId="1" xfId="5" quotePrefix="1" applyFont="1" applyBorder="1" applyAlignment="1">
      <alignment horizontal="left"/>
    </xf>
    <xf numFmtId="0" fontId="9" fillId="0" borderId="1" xfId="5" applyFont="1" applyBorder="1" applyAlignment="1">
      <alignment horizontal="center"/>
    </xf>
    <xf numFmtId="0" fontId="4" fillId="0" borderId="11" xfId="5" applyFont="1" applyBorder="1" applyAlignment="1">
      <alignment vertical="center"/>
    </xf>
    <xf numFmtId="0" fontId="4" fillId="0" borderId="9" xfId="5" applyFont="1" applyBorder="1" applyAlignment="1">
      <alignment horizontal="center"/>
    </xf>
    <xf numFmtId="165" fontId="14" fillId="0" borderId="9" xfId="5" applyNumberFormat="1" applyFont="1" applyBorder="1" applyAlignment="1">
      <alignment horizontal="center"/>
    </xf>
    <xf numFmtId="164" fontId="8" fillId="0" borderId="8" xfId="5" applyNumberFormat="1" applyFont="1" applyBorder="1"/>
    <xf numFmtId="0" fontId="20" fillId="0" borderId="9" xfId="5" applyFont="1" applyBorder="1" applyAlignment="1">
      <alignment horizontal="center" wrapText="1"/>
    </xf>
    <xf numFmtId="0" fontId="26" fillId="0" borderId="16" xfId="5" applyBorder="1" applyAlignment="1">
      <alignment horizontal="left" vertical="center"/>
    </xf>
    <xf numFmtId="0" fontId="26" fillId="0" borderId="9" xfId="5" applyBorder="1" applyAlignment="1">
      <alignment horizontal="center" vertical="center"/>
    </xf>
    <xf numFmtId="0" fontId="14" fillId="0" borderId="9" xfId="5" applyFont="1" applyBorder="1" applyAlignment="1">
      <alignment horizontal="center"/>
    </xf>
    <xf numFmtId="9" fontId="16" fillId="0" borderId="0" xfId="3" applyFont="1" applyFill="1" applyBorder="1" applyAlignment="1" applyProtection="1">
      <alignment horizontal="center"/>
    </xf>
    <xf numFmtId="1" fontId="16" fillId="0" borderId="0" xfId="3" applyNumberFormat="1" applyFont="1" applyFill="1" applyBorder="1" applyAlignment="1" applyProtection="1">
      <alignment horizontal="center"/>
    </xf>
    <xf numFmtId="0" fontId="16" fillId="0" borderId="0" xfId="5" applyFont="1" applyAlignment="1">
      <alignment horizontal="left"/>
    </xf>
    <xf numFmtId="9" fontId="16" fillId="0" borderId="0" xfId="3" applyFont="1" applyFill="1" applyBorder="1" applyProtection="1"/>
    <xf numFmtId="0" fontId="16" fillId="0" borderId="0" xfId="5" applyFont="1"/>
    <xf numFmtId="10" fontId="0" fillId="0" borderId="1" xfId="3" applyNumberFormat="1" applyFont="1" applyFill="1" applyBorder="1" applyAlignment="1" applyProtection="1">
      <alignment horizontal="center" vertical="center" wrapText="1"/>
    </xf>
    <xf numFmtId="0" fontId="1" fillId="0" borderId="11" xfId="5" applyFont="1" applyBorder="1" applyAlignment="1">
      <alignment vertical="center" wrapText="1"/>
    </xf>
    <xf numFmtId="0" fontId="21" fillId="0" borderId="9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0" fontId="4" fillId="0" borderId="16" xfId="5" applyFont="1" applyBorder="1"/>
    <xf numFmtId="0" fontId="4" fillId="0" borderId="17" xfId="5" applyFont="1" applyBorder="1"/>
    <xf numFmtId="0" fontId="4" fillId="0" borderId="18" xfId="5" applyFont="1" applyBorder="1"/>
    <xf numFmtId="0" fontId="14" fillId="0" borderId="46" xfId="5" applyFont="1" applyBorder="1" applyAlignment="1">
      <alignment horizontal="center"/>
    </xf>
    <xf numFmtId="44" fontId="14" fillId="0" borderId="46" xfId="4" applyFont="1" applyFill="1" applyBorder="1" applyProtection="1"/>
    <xf numFmtId="0" fontId="4" fillId="0" borderId="41" xfId="5" applyFont="1" applyBorder="1"/>
    <xf numFmtId="0" fontId="4" fillId="0" borderId="0" xfId="5" applyFont="1" applyAlignment="1">
      <alignment horizontal="left"/>
    </xf>
    <xf numFmtId="10" fontId="1" fillId="0" borderId="1" xfId="5" applyNumberFormat="1" applyFont="1" applyBorder="1" applyAlignment="1">
      <alignment horizontal="center"/>
    </xf>
    <xf numFmtId="0" fontId="4" fillId="0" borderId="39" xfId="5" applyFont="1" applyBorder="1" applyAlignment="1">
      <alignment vertical="center"/>
    </xf>
    <xf numFmtId="0" fontId="26" fillId="0" borderId="1" xfId="5" applyBorder="1" applyAlignment="1">
      <alignment horizontal="right" vertical="center" wrapText="1"/>
    </xf>
    <xf numFmtId="49" fontId="4" fillId="0" borderId="10" xfId="5" applyNumberFormat="1" applyFont="1" applyBorder="1" applyAlignment="1">
      <alignment horizontal="right" vertical="top"/>
    </xf>
    <xf numFmtId="0" fontId="4" fillId="0" borderId="48" xfId="5" applyFont="1" applyBorder="1" applyAlignment="1">
      <alignment vertical="center"/>
    </xf>
    <xf numFmtId="9" fontId="9" fillId="0" borderId="47" xfId="5" applyNumberFormat="1" applyFont="1" applyBorder="1" applyAlignment="1">
      <alignment horizontal="center" vertical="center"/>
    </xf>
    <xf numFmtId="164" fontId="4" fillId="0" borderId="49" xfId="5" applyNumberFormat="1" applyFont="1" applyBorder="1" applyAlignment="1">
      <alignment vertical="center"/>
    </xf>
    <xf numFmtId="0" fontId="4" fillId="0" borderId="11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top"/>
    </xf>
    <xf numFmtId="0" fontId="4" fillId="0" borderId="45" xfId="5" applyFont="1" applyBorder="1" applyAlignment="1">
      <alignment vertical="top"/>
    </xf>
    <xf numFmtId="164" fontId="4" fillId="0" borderId="43" xfId="5" applyNumberFormat="1" applyFont="1" applyBorder="1"/>
    <xf numFmtId="164" fontId="8" fillId="2" borderId="8" xfId="5" applyNumberFormat="1" applyFont="1" applyFill="1" applyBorder="1" applyProtection="1">
      <protection locked="0"/>
    </xf>
    <xf numFmtId="164" fontId="11" fillId="2" borderId="8" xfId="5" applyNumberFormat="1" applyFont="1" applyFill="1" applyBorder="1" applyProtection="1">
      <protection locked="0"/>
    </xf>
    <xf numFmtId="164" fontId="11" fillId="2" borderId="8" xfId="5" applyNumberFormat="1" applyFont="1" applyFill="1" applyBorder="1" applyAlignment="1" applyProtection="1">
      <alignment vertical="center"/>
      <protection locked="0"/>
    </xf>
    <xf numFmtId="164" fontId="4" fillId="2" borderId="54" xfId="5" applyNumberFormat="1" applyFont="1" applyFill="1" applyBorder="1" applyAlignment="1" applyProtection="1">
      <alignment vertical="center"/>
      <protection locked="0"/>
    </xf>
    <xf numFmtId="164" fontId="4" fillId="2" borderId="38" xfId="5" applyNumberFormat="1" applyFont="1" applyFill="1" applyBorder="1" applyAlignment="1" applyProtection="1">
      <alignment vertical="center"/>
      <protection locked="0"/>
    </xf>
    <xf numFmtId="164" fontId="4" fillId="2" borderId="37" xfId="5" applyNumberFormat="1" applyFont="1" applyFill="1" applyBorder="1" applyAlignment="1" applyProtection="1">
      <alignment vertical="center"/>
      <protection locked="0"/>
    </xf>
    <xf numFmtId="164" fontId="4" fillId="2" borderId="49" xfId="5" applyNumberFormat="1" applyFont="1" applyFill="1" applyBorder="1" applyAlignment="1" applyProtection="1">
      <alignment vertical="center"/>
      <protection locked="0"/>
    </xf>
    <xf numFmtId="164" fontId="4" fillId="2" borderId="50" xfId="5" applyNumberFormat="1" applyFont="1" applyFill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6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right" vertical="center"/>
    </xf>
    <xf numFmtId="164" fontId="4" fillId="0" borderId="8" xfId="5" applyNumberFormat="1" applyFont="1" applyBorder="1" applyAlignment="1">
      <alignment vertical="center"/>
    </xf>
    <xf numFmtId="0" fontId="4" fillId="2" borderId="41" xfId="5" applyFont="1" applyFill="1" applyBorder="1" applyAlignment="1" applyProtection="1">
      <alignment vertical="center"/>
      <protection locked="0"/>
    </xf>
    <xf numFmtId="0" fontId="4" fillId="2" borderId="1" xfId="5" applyFont="1" applyFill="1" applyBorder="1" applyAlignment="1" applyProtection="1">
      <alignment vertical="center"/>
      <protection locked="0"/>
    </xf>
    <xf numFmtId="10" fontId="1" fillId="0" borderId="1" xfId="5" applyNumberFormat="1" applyFont="1" applyBorder="1" applyAlignment="1">
      <alignment horizontal="center" vertical="center"/>
    </xf>
    <xf numFmtId="9" fontId="0" fillId="0" borderId="0" xfId="3" applyFont="1"/>
    <xf numFmtId="0" fontId="6" fillId="0" borderId="2" xfId="5" applyFont="1" applyBorder="1" applyAlignment="1">
      <alignment vertical="center"/>
    </xf>
    <xf numFmtId="0" fontId="1" fillId="0" borderId="0" xfId="0" applyFont="1"/>
    <xf numFmtId="0" fontId="1" fillId="0" borderId="3" xfId="5" applyFont="1" applyBorder="1" applyAlignment="1">
      <alignment vertical="center"/>
    </xf>
    <xf numFmtId="0" fontId="31" fillId="0" borderId="2" xfId="5" applyFont="1" applyBorder="1" applyAlignment="1">
      <alignment vertical="center"/>
    </xf>
    <xf numFmtId="164" fontId="14" fillId="0" borderId="9" xfId="5" applyNumberFormat="1" applyFont="1" applyBorder="1" applyAlignment="1">
      <alignment horizontal="right"/>
    </xf>
    <xf numFmtId="14" fontId="4" fillId="0" borderId="11" xfId="5" applyNumberFormat="1" applyFont="1" applyBorder="1" applyAlignment="1" applyProtection="1">
      <alignment horizontal="center"/>
      <protection locked="0"/>
    </xf>
    <xf numFmtId="0" fontId="4" fillId="2" borderId="0" xfId="5" applyFont="1" applyFill="1" applyAlignment="1" applyProtection="1">
      <alignment horizontal="left" vertical="center"/>
      <protection locked="0"/>
    </xf>
    <xf numFmtId="0" fontId="4" fillId="0" borderId="9" xfId="5" applyFont="1" applyBorder="1" applyAlignment="1">
      <alignment horizontal="center" wrapText="1"/>
    </xf>
    <xf numFmtId="0" fontId="4" fillId="0" borderId="9" xfId="5" applyFont="1" applyBorder="1" applyAlignment="1">
      <alignment horizontal="center" vertical="center" wrapText="1"/>
    </xf>
    <xf numFmtId="167" fontId="9" fillId="0" borderId="1" xfId="5" applyNumberFormat="1" applyFont="1" applyBorder="1" applyAlignment="1">
      <alignment horizontal="center"/>
    </xf>
    <xf numFmtId="0" fontId="1" fillId="0" borderId="0" xfId="5" applyFont="1" applyAlignment="1">
      <alignment vertical="center" wrapText="1"/>
    </xf>
    <xf numFmtId="0" fontId="4" fillId="0" borderId="6" xfId="5" applyFont="1" applyBorder="1" applyAlignment="1">
      <alignment vertical="center"/>
    </xf>
    <xf numFmtId="0" fontId="4" fillId="0" borderId="52" xfId="5" applyFont="1" applyBorder="1"/>
    <xf numFmtId="0" fontId="4" fillId="0" borderId="39" xfId="5" applyFont="1" applyBorder="1"/>
    <xf numFmtId="9" fontId="9" fillId="0" borderId="1" xfId="5" applyNumberFormat="1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65" fontId="14" fillId="0" borderId="0" xfId="5" applyNumberFormat="1" applyFont="1" applyAlignment="1" applyProtection="1">
      <alignment horizontal="center"/>
      <protection locked="0"/>
    </xf>
    <xf numFmtId="0" fontId="14" fillId="0" borderId="0" xfId="5" applyFont="1" applyAlignment="1" applyProtection="1">
      <alignment horizontal="center"/>
      <protection locked="0"/>
    </xf>
    <xf numFmtId="0" fontId="1" fillId="0" borderId="9" xfId="5" applyFont="1" applyBorder="1" applyAlignment="1">
      <alignment horizontal="center" vertical="center" wrapText="1"/>
    </xf>
    <xf numFmtId="0" fontId="0" fillId="0" borderId="9" xfId="5" applyFont="1" applyBorder="1" applyAlignment="1">
      <alignment horizontal="center" vertical="center" wrapText="1"/>
    </xf>
    <xf numFmtId="0" fontId="20" fillId="0" borderId="16" xfId="5" applyFont="1" applyBorder="1"/>
    <xf numFmtId="0" fontId="20" fillId="0" borderId="18" xfId="5" applyFont="1" applyBorder="1"/>
    <xf numFmtId="0" fontId="20" fillId="0" borderId="16" xfId="5" applyFont="1" applyBorder="1" applyAlignment="1">
      <alignment vertical="top"/>
    </xf>
    <xf numFmtId="0" fontId="20" fillId="0" borderId="18" xfId="5" applyFont="1" applyBorder="1" applyAlignment="1">
      <alignment vertical="top"/>
    </xf>
    <xf numFmtId="10" fontId="0" fillId="0" borderId="0" xfId="3" applyNumberFormat="1" applyFont="1"/>
    <xf numFmtId="0" fontId="9" fillId="0" borderId="35" xfId="5" applyFont="1" applyBorder="1" applyAlignment="1" applyProtection="1">
      <alignment horizontal="center"/>
      <protection locked="0"/>
    </xf>
    <xf numFmtId="0" fontId="26" fillId="0" borderId="0" xfId="5" applyAlignment="1">
      <alignment horizontal="right" vertical="center" wrapText="1"/>
    </xf>
    <xf numFmtId="0" fontId="0" fillId="0" borderId="0" xfId="5" applyFont="1" applyAlignment="1">
      <alignment horizontal="left" vertical="center"/>
    </xf>
    <xf numFmtId="0" fontId="26" fillId="0" borderId="0" xfId="5" applyAlignment="1">
      <alignment horizontal="left" vertical="center"/>
    </xf>
    <xf numFmtId="0" fontId="4" fillId="2" borderId="11" xfId="5" applyFont="1" applyFill="1" applyBorder="1" applyAlignment="1" applyProtection="1">
      <alignment horizontal="center" vertical="top"/>
      <protection locked="0"/>
    </xf>
    <xf numFmtId="1" fontId="33" fillId="0" borderId="0" xfId="3" applyNumberFormat="1" applyFont="1" applyFill="1" applyBorder="1" applyAlignment="1">
      <alignment horizontal="center"/>
    </xf>
    <xf numFmtId="164" fontId="34" fillId="0" borderId="0" xfId="5" applyNumberFormat="1" applyFont="1"/>
    <xf numFmtId="165" fontId="26" fillId="0" borderId="0" xfId="5" applyNumberFormat="1"/>
    <xf numFmtId="165" fontId="15" fillId="0" borderId="0" xfId="5" applyNumberFormat="1" applyFont="1" applyAlignment="1">
      <alignment horizontal="right"/>
    </xf>
    <xf numFmtId="165" fontId="4" fillId="0" borderId="13" xfId="5" applyNumberFormat="1" applyFont="1" applyBorder="1"/>
    <xf numFmtId="165" fontId="4" fillId="0" borderId="14" xfId="5" applyNumberFormat="1" applyFont="1" applyBorder="1"/>
    <xf numFmtId="0" fontId="1" fillId="0" borderId="16" xfId="5" applyFont="1" applyBorder="1" applyAlignment="1">
      <alignment horizontal="left" vertical="center"/>
    </xf>
    <xf numFmtId="0" fontId="4" fillId="0" borderId="36" xfId="5" applyFont="1" applyBorder="1" applyAlignment="1">
      <alignment vertical="top"/>
    </xf>
    <xf numFmtId="164" fontId="4" fillId="4" borderId="43" xfId="5" applyNumberFormat="1" applyFont="1" applyFill="1" applyBorder="1"/>
    <xf numFmtId="0" fontId="14" fillId="0" borderId="0" xfId="5" applyFont="1" applyAlignment="1">
      <alignment horizontal="center"/>
    </xf>
    <xf numFmtId="0" fontId="4" fillId="0" borderId="16" xfId="5" applyFont="1" applyBorder="1" applyProtection="1">
      <protection locked="0"/>
    </xf>
    <xf numFmtId="0" fontId="0" fillId="0" borderId="9" xfId="0" applyBorder="1" applyAlignment="1">
      <alignment vertical="center"/>
    </xf>
    <xf numFmtId="0" fontId="14" fillId="2" borderId="9" xfId="5" applyFont="1" applyFill="1" applyBorder="1" applyAlignment="1" applyProtection="1">
      <alignment horizontal="center" vertical="center"/>
      <protection locked="0"/>
    </xf>
    <xf numFmtId="9" fontId="14" fillId="2" borderId="9" xfId="3" applyFont="1" applyFill="1" applyBorder="1" applyAlignment="1" applyProtection="1">
      <alignment horizontal="center" vertical="center"/>
      <protection locked="0"/>
    </xf>
    <xf numFmtId="9" fontId="17" fillId="0" borderId="0" xfId="2" applyNumberFormat="1"/>
    <xf numFmtId="4" fontId="35" fillId="0" borderId="0" xfId="0" applyNumberFormat="1" applyFont="1"/>
    <xf numFmtId="168" fontId="0" fillId="0" borderId="0" xfId="0" applyNumberFormat="1"/>
    <xf numFmtId="165" fontId="14" fillId="0" borderId="9" xfId="5" applyNumberFormat="1" applyFont="1" applyBorder="1" applyAlignment="1">
      <alignment horizontal="center" vertical="center"/>
    </xf>
    <xf numFmtId="164" fontId="4" fillId="0" borderId="57" xfId="5" applyNumberFormat="1" applyFont="1" applyBorder="1"/>
    <xf numFmtId="0" fontId="4" fillId="4" borderId="39" xfId="5" applyFont="1" applyFill="1" applyBorder="1" applyAlignment="1">
      <alignment horizontal="left" vertical="center"/>
    </xf>
    <xf numFmtId="0" fontId="4" fillId="0" borderId="39" xfId="5" applyFont="1" applyBorder="1" applyAlignment="1">
      <alignment vertical="top"/>
    </xf>
    <xf numFmtId="0" fontId="4" fillId="0" borderId="56" xfId="5" applyFont="1" applyBorder="1" applyAlignment="1">
      <alignment vertical="top"/>
    </xf>
    <xf numFmtId="164" fontId="4" fillId="4" borderId="54" xfId="5" applyNumberFormat="1" applyFont="1" applyFill="1" applyBorder="1"/>
    <xf numFmtId="0" fontId="0" fillId="0" borderId="6" xfId="5" applyFont="1" applyBorder="1" applyProtection="1">
      <protection locked="0"/>
    </xf>
    <xf numFmtId="0" fontId="0" fillId="5" borderId="0" xfId="0" applyFill="1"/>
    <xf numFmtId="9" fontId="0" fillId="5" borderId="0" xfId="3" applyFont="1" applyFill="1"/>
    <xf numFmtId="164" fontId="4" fillId="2" borderId="38" xfId="5" applyNumberFormat="1" applyFont="1" applyFill="1" applyBorder="1" applyProtection="1">
      <protection locked="0"/>
    </xf>
    <xf numFmtId="164" fontId="4" fillId="2" borderId="50" xfId="5" applyNumberFormat="1" applyFont="1" applyFill="1" applyBorder="1" applyProtection="1">
      <protection locked="0"/>
    </xf>
    <xf numFmtId="0" fontId="4" fillId="0" borderId="35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26" fillId="0" borderId="39" xfId="5" applyBorder="1" applyAlignment="1">
      <alignment horizontal="right" vertical="center" wrapText="1"/>
    </xf>
    <xf numFmtId="0" fontId="26" fillId="0" borderId="1" xfId="5" applyBorder="1" applyAlignment="1">
      <alignment horizontal="right" vertical="center" wrapText="1"/>
    </xf>
    <xf numFmtId="0" fontId="26" fillId="0" borderId="35" xfId="5" applyBorder="1" applyAlignment="1">
      <alignment horizontal="right" vertical="center" wrapText="1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164" fontId="4" fillId="0" borderId="3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/>
    </xf>
    <xf numFmtId="0" fontId="4" fillId="0" borderId="35" xfId="5" applyFont="1" applyBorder="1" applyAlignment="1">
      <alignment horizontal="center" vertical="center"/>
    </xf>
    <xf numFmtId="164" fontId="4" fillId="0" borderId="37" xfId="5" applyNumberFormat="1" applyFont="1" applyBorder="1" applyAlignment="1">
      <alignment vertical="center"/>
    </xf>
    <xf numFmtId="164" fontId="4" fillId="0" borderId="38" xfId="5" applyNumberFormat="1" applyFont="1" applyBorder="1" applyAlignment="1">
      <alignment vertical="center"/>
    </xf>
    <xf numFmtId="0" fontId="26" fillId="0" borderId="0" xfId="5" applyAlignment="1">
      <alignment horizontal="right" vertical="center" wrapText="1"/>
    </xf>
    <xf numFmtId="0" fontId="1" fillId="0" borderId="0" xfId="5" applyFont="1" applyAlignment="1">
      <alignment horizontal="right" vertical="center" wrapText="1"/>
    </xf>
    <xf numFmtId="0" fontId="0" fillId="0" borderId="0" xfId="5" applyFont="1" applyAlignment="1">
      <alignment vertical="center" wrapText="1"/>
    </xf>
    <xf numFmtId="0" fontId="1" fillId="0" borderId="0" xfId="5" applyFont="1" applyAlignment="1">
      <alignment vertical="center" wrapText="1"/>
    </xf>
    <xf numFmtId="0" fontId="4" fillId="0" borderId="39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164" fontId="4" fillId="2" borderId="1" xfId="5" applyNumberFormat="1" applyFont="1" applyFill="1" applyBorder="1" applyAlignment="1" applyProtection="1">
      <alignment horizontal="center" vertical="center"/>
      <protection locked="0"/>
    </xf>
    <xf numFmtId="0" fontId="4" fillId="0" borderId="39" xfId="5" applyFont="1" applyBorder="1" applyAlignment="1">
      <alignment horizontal="left" vertical="center"/>
    </xf>
    <xf numFmtId="0" fontId="4" fillId="4" borderId="36" xfId="5" applyFont="1" applyFill="1" applyBorder="1" applyAlignment="1">
      <alignment horizontal="left" vertical="center"/>
    </xf>
    <xf numFmtId="0" fontId="15" fillId="0" borderId="53" xfId="5" applyFont="1" applyBorder="1" applyAlignment="1">
      <alignment horizontal="center" vertical="top"/>
    </xf>
    <xf numFmtId="0" fontId="15" fillId="0" borderId="35" xfId="5" applyFont="1" applyBorder="1" applyAlignment="1">
      <alignment horizontal="center" vertical="top"/>
    </xf>
    <xf numFmtId="0" fontId="32" fillId="0" borderId="35" xfId="5" applyFont="1" applyBorder="1" applyAlignment="1">
      <alignment horizontal="center" vertical="top"/>
    </xf>
    <xf numFmtId="0" fontId="32" fillId="0" borderId="52" xfId="5" applyFont="1" applyBorder="1" applyAlignment="1">
      <alignment horizontal="center" vertical="top"/>
    </xf>
    <xf numFmtId="0" fontId="15" fillId="0" borderId="10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0" borderId="52" xfId="5" applyFont="1" applyBorder="1" applyAlignment="1">
      <alignment horizontal="center" vertical="top"/>
    </xf>
    <xf numFmtId="0" fontId="4" fillId="0" borderId="10" xfId="5" applyFont="1" applyBorder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/>
      <protection locked="0"/>
    </xf>
    <xf numFmtId="0" fontId="4" fillId="0" borderId="51" xfId="5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5" fillId="2" borderId="0" xfId="5" applyFont="1" applyFill="1" applyAlignment="1" applyProtection="1">
      <alignment horizontal="center" vertical="center"/>
      <protection locked="0"/>
    </xf>
    <xf numFmtId="0" fontId="4" fillId="0" borderId="10" xfId="5" applyFont="1" applyBorder="1" applyAlignment="1">
      <alignment horizontal="left"/>
    </xf>
    <xf numFmtId="0" fontId="4" fillId="0" borderId="0" xfId="5" applyFont="1" applyAlignment="1">
      <alignment horizontal="left"/>
    </xf>
    <xf numFmtId="0" fontId="4" fillId="0" borderId="0" xfId="5" applyFont="1"/>
    <xf numFmtId="0" fontId="4" fillId="0" borderId="10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41" xfId="5" applyFont="1" applyFill="1" applyBorder="1" applyAlignment="1" applyProtection="1">
      <alignment horizontal="left"/>
      <protection locked="0"/>
    </xf>
    <xf numFmtId="0" fontId="9" fillId="2" borderId="0" xfId="5" quotePrefix="1" applyFont="1" applyFill="1" applyAlignment="1" applyProtection="1">
      <alignment horizontal="left"/>
      <protection locked="0"/>
    </xf>
    <xf numFmtId="0" fontId="26" fillId="0" borderId="0" xfId="5" applyAlignment="1">
      <alignment horizontal="center" vertical="center" wrapText="1"/>
    </xf>
    <xf numFmtId="0" fontId="26" fillId="0" borderId="11" xfId="5" applyBorder="1" applyAlignment="1">
      <alignment horizontal="center" vertical="center" wrapText="1"/>
    </xf>
    <xf numFmtId="0" fontId="4" fillId="0" borderId="36" xfId="5" applyFont="1" applyBorder="1" applyAlignment="1">
      <alignment horizontal="center"/>
    </xf>
    <xf numFmtId="0" fontId="0" fillId="0" borderId="36" xfId="5" applyFont="1" applyBorder="1" applyAlignment="1">
      <alignment horizontal="center" vertical="center"/>
    </xf>
    <xf numFmtId="0" fontId="0" fillId="0" borderId="0" xfId="5" applyFont="1" applyAlignment="1">
      <alignment horizontal="right"/>
    </xf>
    <xf numFmtId="0" fontId="4" fillId="0" borderId="11" xfId="5" applyFont="1" applyBorder="1" applyAlignment="1">
      <alignment horizontal="left"/>
    </xf>
    <xf numFmtId="165" fontId="36" fillId="0" borderId="8" xfId="5" applyNumberFormat="1" applyFont="1" applyBorder="1" applyAlignment="1">
      <alignment horizontal="right" vertical="center"/>
    </xf>
    <xf numFmtId="0" fontId="4" fillId="0" borderId="36" xfId="5" applyFont="1" applyBorder="1" applyAlignment="1">
      <alignment horizontal="left" vertical="center"/>
    </xf>
    <xf numFmtId="0" fontId="4" fillId="0" borderId="45" xfId="5" applyFont="1" applyBorder="1" applyAlignment="1">
      <alignment horizontal="left" vertical="center"/>
    </xf>
    <xf numFmtId="0" fontId="4" fillId="0" borderId="11" xfId="5" applyFont="1" applyBorder="1" applyAlignment="1">
      <alignment horizontal="left" vertical="center"/>
    </xf>
    <xf numFmtId="164" fontId="4" fillId="2" borderId="37" xfId="5" applyNumberFormat="1" applyFont="1" applyFill="1" applyBorder="1" applyAlignment="1" applyProtection="1">
      <alignment vertical="center"/>
      <protection locked="0"/>
    </xf>
    <xf numFmtId="164" fontId="4" fillId="2" borderId="38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vertical="center"/>
    </xf>
    <xf numFmtId="0" fontId="4" fillId="0" borderId="40" xfId="5" applyFont="1" applyBorder="1" applyAlignment="1">
      <alignment vertical="center"/>
    </xf>
    <xf numFmtId="0" fontId="20" fillId="0" borderId="9" xfId="5" applyFont="1" applyBorder="1" applyAlignment="1">
      <alignment horizontal="center"/>
    </xf>
    <xf numFmtId="0" fontId="26" fillId="0" borderId="0" xfId="5" applyAlignment="1">
      <alignment vertical="center" wrapText="1"/>
    </xf>
    <xf numFmtId="0" fontId="1" fillId="0" borderId="11" xfId="5" applyFont="1" applyBorder="1" applyAlignment="1">
      <alignment vertical="center" wrapText="1"/>
    </xf>
    <xf numFmtId="0" fontId="4" fillId="0" borderId="9" xfId="5" applyFont="1" applyBorder="1" applyAlignment="1">
      <alignment horizontal="center"/>
    </xf>
    <xf numFmtId="164" fontId="4" fillId="0" borderId="1" xfId="5" applyNumberFormat="1" applyFont="1" applyBorder="1" applyAlignment="1">
      <alignment horizontal="right"/>
    </xf>
    <xf numFmtId="0" fontId="5" fillId="0" borderId="0" xfId="5" applyFont="1" applyAlignment="1">
      <alignment horizontal="center"/>
    </xf>
    <xf numFmtId="0" fontId="4" fillId="0" borderId="10" xfId="5" applyFont="1" applyBorder="1"/>
    <xf numFmtId="0" fontId="9" fillId="0" borderId="1" xfId="5" applyFont="1" applyBorder="1" applyAlignment="1">
      <alignment wrapText="1"/>
    </xf>
    <xf numFmtId="0" fontId="9" fillId="0" borderId="1" xfId="5" applyFont="1" applyBorder="1"/>
  </cellXfs>
  <cellStyles count="6">
    <cellStyle name="Hiperłącze" xfId="1" builtinId="8"/>
    <cellStyle name="Normalny" xfId="0" builtinId="0"/>
    <cellStyle name="Normalny 2" xfId="5" xr:uid="{00000000-0005-0000-0000-000002000000}"/>
    <cellStyle name="Normalny_kosztorysy_nowe_05" xfId="2" xr:uid="{00000000-0005-0000-0000-000003000000}"/>
    <cellStyle name="Procentowy" xfId="3" builtinId="5"/>
    <cellStyle name="Walutowy" xfId="4" builtinId="4"/>
  </cellStyles>
  <dxfs count="5"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182"/>
  <sheetViews>
    <sheetView showGridLines="0" tabSelected="1" view="pageBreakPreview" zoomScaleNormal="100" zoomScaleSheetLayoutView="100" workbookViewId="0">
      <selection activeCell="K2" sqref="K2"/>
    </sheetView>
  </sheetViews>
  <sheetFormatPr defaultRowHeight="12.75" x14ac:dyDescent="0.2"/>
  <cols>
    <col min="1" max="1" width="9.140625" style="40"/>
    <col min="2" max="2" width="6.42578125" style="40" customWidth="1"/>
    <col min="3" max="3" width="9.140625" style="40"/>
    <col min="4" max="4" width="21.85546875" style="40" customWidth="1"/>
    <col min="5" max="5" width="16" style="40" customWidth="1"/>
    <col min="6" max="11" width="15.7109375" style="40" customWidth="1"/>
    <col min="12" max="12" width="6.85546875" style="40" customWidth="1"/>
    <col min="13" max="13" width="18.5703125" style="40" bestFit="1" customWidth="1"/>
    <col min="14" max="14" width="99.28515625" style="40" customWidth="1"/>
    <col min="15" max="15" width="9.140625" style="40"/>
    <col min="16" max="16" width="10.140625" style="40" bestFit="1" customWidth="1"/>
    <col min="17" max="17" width="9.140625" style="40"/>
    <col min="18" max="18" width="10.28515625" style="40" bestFit="1" customWidth="1"/>
    <col min="19" max="19" width="9.140625" style="40"/>
    <col min="20" max="20" width="10.140625" style="40" bestFit="1" customWidth="1"/>
    <col min="21" max="25" width="9.140625" style="40"/>
    <col min="26" max="26" width="12.85546875" style="40" bestFit="1" customWidth="1"/>
    <col min="27" max="16384" width="9.140625" style="40"/>
  </cols>
  <sheetData>
    <row r="1" spans="2:36" ht="13.5" thickBot="1" x14ac:dyDescent="0.25"/>
    <row r="2" spans="2:36" ht="13.5" thickTop="1" x14ac:dyDescent="0.2">
      <c r="B2" s="62"/>
      <c r="C2" s="63"/>
      <c r="D2" s="63"/>
      <c r="E2" s="63"/>
      <c r="F2" s="63"/>
      <c r="G2" s="63"/>
      <c r="H2" s="63"/>
      <c r="I2" s="63"/>
      <c r="J2" s="63"/>
      <c r="K2" s="275" t="s">
        <v>284</v>
      </c>
      <c r="L2" s="63"/>
      <c r="M2" s="64"/>
    </row>
    <row r="3" spans="2:36" ht="20.25" customHeight="1" x14ac:dyDescent="0.2">
      <c r="B3" s="33"/>
      <c r="C3" s="65"/>
      <c r="D3" s="66"/>
      <c r="E3" s="66"/>
      <c r="F3" s="66"/>
      <c r="G3" s="66"/>
      <c r="H3" s="66"/>
      <c r="I3" s="66"/>
      <c r="J3" s="67"/>
      <c r="K3" s="67"/>
      <c r="L3" s="67" t="s">
        <v>0</v>
      </c>
      <c r="M3" s="227"/>
    </row>
    <row r="4" spans="2:36" ht="23.25" customHeight="1" x14ac:dyDescent="0.2">
      <c r="B4" s="33"/>
      <c r="C4" s="66"/>
      <c r="D4" s="66"/>
      <c r="E4" s="66"/>
      <c r="F4" s="66"/>
      <c r="G4" s="66"/>
      <c r="H4" s="66"/>
      <c r="I4" s="66"/>
      <c r="J4" s="66"/>
      <c r="K4" s="66"/>
      <c r="L4" s="66"/>
      <c r="M4" s="69"/>
    </row>
    <row r="5" spans="2:36" ht="18" customHeight="1" x14ac:dyDescent="0.25">
      <c r="B5" s="70"/>
      <c r="C5" s="71"/>
      <c r="D5" s="71"/>
      <c r="E5" s="314" t="s">
        <v>268</v>
      </c>
      <c r="F5" s="314"/>
      <c r="G5" s="314"/>
      <c r="H5" s="314"/>
      <c r="I5" s="314"/>
      <c r="J5" s="37"/>
      <c r="K5" s="37"/>
      <c r="L5" s="37"/>
      <c r="M5" s="38"/>
    </row>
    <row r="6" spans="2:36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32"/>
      <c r="O6" s="42"/>
    </row>
    <row r="7" spans="2:36" ht="18" customHeight="1" x14ac:dyDescent="0.25">
      <c r="B7" s="74"/>
      <c r="C7" s="75"/>
      <c r="D7" s="75"/>
      <c r="E7" s="75"/>
      <c r="F7" s="76" t="s">
        <v>3</v>
      </c>
      <c r="G7" s="152"/>
      <c r="H7" s="153"/>
      <c r="I7" s="66"/>
      <c r="J7" s="76" t="s">
        <v>4</v>
      </c>
      <c r="K7" s="322" t="s">
        <v>5</v>
      </c>
      <c r="L7" s="322"/>
      <c r="M7" s="69"/>
      <c r="AJ7" s="43"/>
    </row>
    <row r="8" spans="2:36" x14ac:dyDescent="0.2">
      <c r="B8" s="33"/>
      <c r="C8" s="66"/>
      <c r="D8" s="66"/>
      <c r="E8" s="66"/>
      <c r="F8" s="66"/>
      <c r="G8" s="77"/>
      <c r="H8" s="78"/>
      <c r="I8" s="66"/>
      <c r="J8" s="66"/>
      <c r="K8" s="66"/>
      <c r="L8" s="66"/>
      <c r="M8" s="69"/>
    </row>
    <row r="9" spans="2:36" x14ac:dyDescent="0.2">
      <c r="B9" s="33"/>
      <c r="C9" s="66"/>
      <c r="D9" s="66"/>
      <c r="E9" s="66"/>
      <c r="F9" s="66"/>
      <c r="G9" s="66"/>
      <c r="H9" s="66"/>
      <c r="I9" s="66"/>
      <c r="J9" s="66"/>
      <c r="K9" s="66"/>
      <c r="L9" s="66"/>
      <c r="M9" s="69"/>
    </row>
    <row r="10" spans="2:36" ht="18" customHeight="1" x14ac:dyDescent="0.25">
      <c r="B10" s="105"/>
      <c r="C10" s="79"/>
      <c r="D10" s="67" t="s">
        <v>198</v>
      </c>
      <c r="E10" s="320"/>
      <c r="F10" s="320"/>
      <c r="G10" s="320"/>
      <c r="H10" s="320"/>
      <c r="I10" s="320"/>
      <c r="J10" s="320"/>
      <c r="K10" s="320"/>
      <c r="L10" s="320"/>
      <c r="M10" s="80"/>
    </row>
    <row r="11" spans="2:36" ht="18" hidden="1" customHeight="1" x14ac:dyDescent="0.25">
      <c r="B11" s="105"/>
      <c r="C11" s="79"/>
      <c r="D11" s="67" t="s">
        <v>199</v>
      </c>
      <c r="E11" s="321"/>
      <c r="F11" s="321"/>
      <c r="G11" s="321"/>
      <c r="H11" s="321"/>
      <c r="I11" s="321"/>
      <c r="J11" s="321"/>
      <c r="K11" s="321"/>
      <c r="L11" s="321"/>
      <c r="M11" s="80"/>
    </row>
    <row r="12" spans="2:36" ht="18" customHeight="1" x14ac:dyDescent="0.25">
      <c r="B12" s="105"/>
      <c r="C12" s="79"/>
      <c r="D12" s="67" t="s">
        <v>218</v>
      </c>
      <c r="E12" s="321"/>
      <c r="F12" s="321"/>
      <c r="G12" s="321"/>
      <c r="H12" s="321"/>
      <c r="I12" s="321"/>
      <c r="J12" s="321"/>
      <c r="K12" s="321"/>
      <c r="L12" s="321"/>
      <c r="M12" s="80"/>
    </row>
    <row r="13" spans="2:36" ht="18" customHeight="1" x14ac:dyDescent="0.25">
      <c r="B13" s="315"/>
      <c r="C13" s="316"/>
      <c r="D13" s="316"/>
      <c r="E13" s="316"/>
      <c r="F13" s="247"/>
      <c r="G13" s="317"/>
      <c r="H13" s="317"/>
      <c r="I13" s="317"/>
      <c r="J13" s="79"/>
      <c r="K13" s="79"/>
      <c r="L13" s="79"/>
      <c r="M13" s="80"/>
    </row>
    <row r="14" spans="2:36" ht="18" customHeight="1" x14ac:dyDescent="0.25">
      <c r="B14" s="318" t="s">
        <v>121</v>
      </c>
      <c r="C14" s="319"/>
      <c r="D14" s="319"/>
      <c r="E14" s="154"/>
      <c r="F14" s="154"/>
      <c r="G14" s="319" t="s">
        <v>122</v>
      </c>
      <c r="H14" s="319"/>
      <c r="I14" s="154"/>
      <c r="J14" s="154"/>
      <c r="K14" s="81"/>
      <c r="L14" s="81"/>
      <c r="M14" s="80"/>
    </row>
    <row r="15" spans="2:36" ht="12" customHeight="1" x14ac:dyDescent="0.2">
      <c r="B15" s="82"/>
      <c r="C15" s="79"/>
      <c r="D15" s="79"/>
      <c r="E15" s="83" t="s">
        <v>10</v>
      </c>
      <c r="F15" s="83" t="s">
        <v>11</v>
      </c>
      <c r="G15" s="84"/>
      <c r="H15" s="84"/>
      <c r="I15" s="83" t="s">
        <v>10</v>
      </c>
      <c r="J15" s="83" t="s">
        <v>11</v>
      </c>
      <c r="K15" s="83"/>
      <c r="L15" s="83"/>
      <c r="M15" s="80"/>
    </row>
    <row r="16" spans="2:36" ht="18" customHeight="1" x14ac:dyDescent="0.25">
      <c r="B16" s="318" t="s">
        <v>241</v>
      </c>
      <c r="C16" s="319"/>
      <c r="D16" s="319"/>
      <c r="E16" s="319"/>
      <c r="F16" s="231">
        <f>SUM(E35:K46)+SUM(E55:K58)</f>
        <v>0</v>
      </c>
      <c r="G16" s="327"/>
      <c r="H16" s="327"/>
      <c r="I16" s="327"/>
      <c r="J16" s="86"/>
      <c r="K16" s="83"/>
      <c r="L16" s="79"/>
      <c r="M16" s="80"/>
    </row>
    <row r="17" spans="2:41" ht="18" customHeight="1" x14ac:dyDescent="0.25">
      <c r="B17" s="318" t="s">
        <v>242</v>
      </c>
      <c r="C17" s="319"/>
      <c r="D17" s="319"/>
      <c r="E17" s="319"/>
      <c r="F17" s="231">
        <f>(SUM(E35:E46,E55:E58))+((IF($G$24-(FLOOR($G$24/F$34,1)*F$34)&lt;ROUND(25%*F$34,0),FLOOR($G$24/F$34,1),CEILING($G$24/F$34,1)))*SUM(F35:F46,F55:F58))+((IF($G$24-(FLOOR($G$24/G$34,1)*G$34)&lt;ROUND(25%*G$34,0),FLOOR($G$24/G$34,1),CEILING($G$24/G$34,1)))*SUM(G35:G46,G55:G58))+((IF($G$24-(FLOOR($G$24/H$34,1)*H$34)&lt;ROUND(25%*H$34,0),FLOOR($G$24/H$34,1),CEILING($G$24/H$34,1)))*SUM(H35:H46,H55:H58))+((IF($G$24-(FLOOR($G$24/I$34,1)*I$34)&lt;ROUND(25%*I$34,0),FLOOR($G$24/I$34,1),CEILING($G$24/I$34,1)))*SUM(I35:I46,I55:I58))+((IF($G$24-(FLOOR($G$24/J$34,1)*J$34)&lt;ROUND(25%*J$34,0),FLOOR($G$24/J$34,1),CEILING($G$24/J$34,1)))*SUM(J35:J46,J55:J58))+((IF($G$24-(FLOOR($G$24/K$34,1)*K$34)&lt;ROUND(25%*K$34,0),FLOOR($G$24/K$34,1),CEILING($G$24/K$34,1)))*SUM(K35:K46,K55:K58))</f>
        <v>0</v>
      </c>
      <c r="G17" s="85"/>
      <c r="H17" s="86"/>
      <c r="I17" s="67"/>
      <c r="J17" s="316"/>
      <c r="K17" s="316"/>
      <c r="L17" s="316"/>
      <c r="M17" s="328"/>
      <c r="AH17" s="45"/>
      <c r="AI17" s="46"/>
      <c r="AK17" s="45"/>
      <c r="AL17" s="45"/>
      <c r="AM17" s="45"/>
      <c r="AN17" s="45"/>
    </row>
    <row r="18" spans="2:41" ht="18" customHeight="1" x14ac:dyDescent="0.2">
      <c r="B18" s="82"/>
      <c r="C18" s="79"/>
      <c r="D18" s="79"/>
      <c r="E18" s="66"/>
      <c r="F18" s="67"/>
      <c r="G18" s="85"/>
      <c r="H18" s="86"/>
      <c r="I18" s="79"/>
      <c r="J18" s="316"/>
      <c r="K18" s="316"/>
      <c r="L18" s="316"/>
      <c r="M18" s="328"/>
      <c r="AH18" s="45"/>
      <c r="AI18" s="46"/>
      <c r="AK18" s="45"/>
      <c r="AL18" s="45"/>
      <c r="AM18" s="45"/>
      <c r="AN18" s="45"/>
    </row>
    <row r="19" spans="2:41" ht="18" customHeight="1" x14ac:dyDescent="0.2">
      <c r="B19" s="82"/>
      <c r="C19" s="79"/>
      <c r="D19" s="79"/>
      <c r="E19" s="66"/>
      <c r="F19" s="67"/>
      <c r="G19" s="66"/>
      <c r="H19" s="66"/>
      <c r="I19" s="66"/>
      <c r="J19" s="79"/>
      <c r="K19" s="79"/>
      <c r="L19" s="79"/>
      <c r="M19" s="80"/>
      <c r="AH19" s="45"/>
      <c r="AI19" s="46"/>
      <c r="AK19" s="45"/>
      <c r="AL19" s="45"/>
      <c r="AM19" s="45"/>
      <c r="AN19" s="45"/>
    </row>
    <row r="20" spans="2:41" ht="15" thickBot="1" x14ac:dyDescent="0.25">
      <c r="B20" s="82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  <c r="AH20" s="45"/>
      <c r="AI20" s="46"/>
      <c r="AK20" s="45"/>
      <c r="AL20" s="45"/>
      <c r="AM20" s="45"/>
      <c r="AN20" s="45"/>
    </row>
    <row r="21" spans="2:41" s="41" customFormat="1" ht="17.25" thickTop="1" thickBot="1" x14ac:dyDescent="0.25">
      <c r="B21" s="87" t="s">
        <v>267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 t="s">
        <v>20</v>
      </c>
      <c r="Z21" s="40"/>
      <c r="AA21" s="40"/>
      <c r="AG21" s="40"/>
      <c r="AH21" s="47"/>
      <c r="AI21" s="46"/>
      <c r="AJ21" s="40"/>
      <c r="AK21" s="47"/>
      <c r="AL21" s="47"/>
      <c r="AM21" s="47"/>
      <c r="AN21" s="47"/>
      <c r="AO21" s="40"/>
    </row>
    <row r="22" spans="2:41" s="41" customFormat="1" ht="15.75" customHeight="1" thickTop="1" x14ac:dyDescent="0.2">
      <c r="B22" s="90"/>
      <c r="C22" s="91"/>
      <c r="D22" s="91"/>
      <c r="E22" s="91"/>
      <c r="F22" s="92"/>
      <c r="G22" s="92"/>
      <c r="H22" s="92"/>
      <c r="I22" s="92"/>
      <c r="J22" s="233"/>
      <c r="K22" s="233"/>
      <c r="L22" s="93"/>
      <c r="M22" s="94"/>
      <c r="Z22" s="40"/>
      <c r="AA22" s="40"/>
      <c r="AB22" s="40"/>
      <c r="AC22" s="40"/>
      <c r="AD22" s="40"/>
      <c r="AE22" s="40"/>
      <c r="AF22" s="40"/>
      <c r="AG22" s="40"/>
      <c r="AH22" s="47"/>
      <c r="AI22" s="46"/>
      <c r="AJ22" s="40"/>
      <c r="AK22" s="47"/>
      <c r="AL22" s="47"/>
      <c r="AM22" s="47"/>
      <c r="AN22" s="47"/>
      <c r="AO22" s="40"/>
    </row>
    <row r="23" spans="2:41" ht="51" x14ac:dyDescent="0.2">
      <c r="B23" s="95"/>
      <c r="C23" s="96"/>
      <c r="D23" s="96"/>
      <c r="E23" s="241" t="s">
        <v>222</v>
      </c>
      <c r="F23" s="241" t="s">
        <v>196</v>
      </c>
      <c r="G23" s="240" t="s">
        <v>195</v>
      </c>
      <c r="H23" s="241" t="s">
        <v>266</v>
      </c>
      <c r="I23" s="241" t="s">
        <v>194</v>
      </c>
      <c r="J23" s="237"/>
      <c r="K23" s="254"/>
      <c r="L23" s="66"/>
      <c r="M23" s="329">
        <f>ROUND((((H24/2)*G24)*E24)*(100%-I24),0)</f>
        <v>0</v>
      </c>
      <c r="AH23" s="45"/>
      <c r="AI23" s="46"/>
      <c r="AK23" s="45"/>
      <c r="AL23" s="45"/>
      <c r="AM23" s="45"/>
      <c r="AN23" s="45"/>
    </row>
    <row r="24" spans="2:41" ht="18.75" customHeight="1" x14ac:dyDescent="0.2">
      <c r="B24" s="97"/>
      <c r="C24" s="79"/>
      <c r="D24" s="96"/>
      <c r="E24" s="264"/>
      <c r="F24" s="264"/>
      <c r="G24" s="264"/>
      <c r="H24" s="269">
        <f>IFERROR(M129/(G24*(100%-I24))/(E24/2),0)</f>
        <v>0</v>
      </c>
      <c r="I24" s="265"/>
      <c r="J24" s="238"/>
      <c r="K24" s="255"/>
      <c r="L24" s="98"/>
      <c r="M24" s="329"/>
      <c r="AC24" s="45"/>
      <c r="AH24" s="45"/>
      <c r="AI24" s="46"/>
      <c r="AJ24" s="41"/>
      <c r="AK24" s="45"/>
      <c r="AL24" s="45"/>
      <c r="AM24" s="45"/>
      <c r="AN24" s="45"/>
    </row>
    <row r="25" spans="2:41" ht="16.5" hidden="1" customHeight="1" x14ac:dyDescent="0.2">
      <c r="B25" s="97"/>
      <c r="C25" s="79"/>
      <c r="D25" s="96"/>
      <c r="E25" s="239"/>
      <c r="F25" s="239"/>
      <c r="G25" s="239"/>
      <c r="H25" s="239"/>
      <c r="I25" s="239"/>
      <c r="J25" s="239"/>
      <c r="K25" s="109"/>
      <c r="L25" s="98"/>
      <c r="M25" s="99"/>
      <c r="AH25" s="45"/>
      <c r="AI25" s="46"/>
      <c r="AK25" s="45"/>
      <c r="AL25" s="45"/>
      <c r="AM25" s="45"/>
      <c r="AN25" s="45"/>
    </row>
    <row r="26" spans="2:41" ht="18.75" hidden="1" customHeight="1" x14ac:dyDescent="0.2">
      <c r="B26" s="97"/>
      <c r="C26" s="79"/>
      <c r="D26" s="79"/>
      <c r="E26" s="79"/>
      <c r="F26" s="239"/>
      <c r="G26" s="66"/>
      <c r="H26" s="66"/>
      <c r="I26" s="66"/>
      <c r="J26" s="109"/>
      <c r="K26" s="109"/>
      <c r="L26" s="98"/>
      <c r="M26" s="99"/>
      <c r="Z26" s="43"/>
      <c r="AH26" s="45"/>
      <c r="AI26" s="46"/>
      <c r="AK26" s="45"/>
      <c r="AL26" s="45"/>
      <c r="AM26" s="45"/>
      <c r="AN26" s="45"/>
    </row>
    <row r="27" spans="2:41" ht="14.25" hidden="1" x14ac:dyDescent="0.2">
      <c r="B27" s="100"/>
      <c r="C27" s="79"/>
      <c r="D27" s="79"/>
      <c r="E27" s="79"/>
      <c r="F27" s="79"/>
      <c r="G27" s="79"/>
      <c r="H27" s="79"/>
      <c r="I27" s="79"/>
      <c r="J27" s="109"/>
      <c r="K27" s="109"/>
      <c r="L27" s="98"/>
      <c r="M27" s="99"/>
      <c r="N27" s="42"/>
      <c r="O27" s="42"/>
      <c r="P27" s="42"/>
      <c r="Q27" s="42"/>
      <c r="R27" s="42"/>
      <c r="S27" s="42"/>
      <c r="AH27" s="45"/>
      <c r="AI27" s="46"/>
      <c r="AK27" s="45"/>
      <c r="AL27" s="45"/>
      <c r="AM27" s="45"/>
      <c r="AN27" s="45"/>
    </row>
    <row r="28" spans="2:41" ht="15" thickBot="1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256"/>
      <c r="L28" s="257"/>
      <c r="M28" s="104"/>
      <c r="AH28" s="45"/>
      <c r="AI28" s="46"/>
      <c r="AK28" s="45"/>
      <c r="AL28" s="45"/>
      <c r="AM28" s="45"/>
      <c r="AN28" s="45"/>
    </row>
    <row r="29" spans="2:41" s="41" customFormat="1" ht="21.95" customHeight="1" thickTop="1" thickBot="1" x14ac:dyDescent="0.25">
      <c r="B29" s="87" t="s">
        <v>133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 t="s">
        <v>20</v>
      </c>
    </row>
    <row r="30" spans="2:41" ht="20.100000000000001" customHeight="1" thickTop="1" x14ac:dyDescent="0.2">
      <c r="B30" s="105"/>
      <c r="C30" s="106" t="s">
        <v>128</v>
      </c>
      <c r="D30" s="79" t="s">
        <v>255</v>
      </c>
      <c r="E30" s="79"/>
      <c r="F30" s="79"/>
      <c r="G30" s="79"/>
      <c r="H30" s="79"/>
      <c r="I30" s="79"/>
      <c r="J30" s="79"/>
      <c r="K30" s="79"/>
      <c r="L30" s="79"/>
      <c r="M30" s="104"/>
    </row>
    <row r="31" spans="2:41" ht="15" customHeight="1" x14ac:dyDescent="0.2">
      <c r="B31" s="105"/>
      <c r="C31" s="107"/>
      <c r="D31" s="79"/>
      <c r="E31" s="79"/>
      <c r="F31" s="79"/>
      <c r="G31" s="79"/>
      <c r="H31" s="79"/>
      <c r="I31" s="79"/>
      <c r="J31" s="79"/>
      <c r="K31" s="79"/>
      <c r="L31" s="79"/>
      <c r="M31" s="104"/>
    </row>
    <row r="32" spans="2:41" ht="14.25" x14ac:dyDescent="0.2">
      <c r="B32" s="105"/>
      <c r="C32" s="325" t="s">
        <v>38</v>
      </c>
      <c r="D32" s="325"/>
      <c r="E32" s="79"/>
      <c r="F32" s="325"/>
      <c r="G32" s="325"/>
      <c r="H32" s="325"/>
      <c r="I32" s="130"/>
      <c r="J32" s="79"/>
      <c r="K32" s="79"/>
      <c r="L32" s="79"/>
      <c r="M32" s="104"/>
      <c r="P32" s="48"/>
    </row>
    <row r="33" spans="2:22" ht="35.25" customHeight="1" x14ac:dyDescent="0.2">
      <c r="B33" s="105"/>
      <c r="C33" s="244" t="s">
        <v>34</v>
      </c>
      <c r="D33" s="245"/>
      <c r="E33" s="230" t="s">
        <v>200</v>
      </c>
      <c r="F33" s="230" t="s">
        <v>201</v>
      </c>
      <c r="G33" s="230" t="s">
        <v>202</v>
      </c>
      <c r="H33" s="230" t="s">
        <v>204</v>
      </c>
      <c r="I33" s="230" t="s">
        <v>205</v>
      </c>
      <c r="J33" s="230" t="s">
        <v>206</v>
      </c>
      <c r="K33" s="230" t="s">
        <v>207</v>
      </c>
      <c r="L33" s="79"/>
      <c r="M33" s="104"/>
      <c r="N33" s="49"/>
      <c r="O33" s="49"/>
      <c r="P33" s="48"/>
      <c r="Q33" s="49"/>
      <c r="R33" s="50"/>
    </row>
    <row r="34" spans="2:22" ht="14.25" x14ac:dyDescent="0.2">
      <c r="B34" s="105"/>
      <c r="C34" s="242"/>
      <c r="D34" s="243" t="s">
        <v>203</v>
      </c>
      <c r="E34" s="230"/>
      <c r="F34" s="230">
        <v>20</v>
      </c>
      <c r="G34" s="229">
        <v>12</v>
      </c>
      <c r="H34" s="230">
        <v>6</v>
      </c>
      <c r="I34" s="230">
        <v>1</v>
      </c>
      <c r="J34" s="229">
        <v>12</v>
      </c>
      <c r="K34" s="229">
        <v>6</v>
      </c>
      <c r="L34" s="79"/>
      <c r="M34" s="104"/>
      <c r="N34" s="49"/>
      <c r="O34" s="49"/>
      <c r="P34" s="48"/>
      <c r="Q34" s="49"/>
      <c r="R34" s="50"/>
    </row>
    <row r="35" spans="2:22" ht="18.75" customHeight="1" x14ac:dyDescent="0.2">
      <c r="B35" s="105"/>
      <c r="C35" s="214" t="s">
        <v>71</v>
      </c>
      <c r="D35" s="108"/>
      <c r="E35" s="29"/>
      <c r="F35" s="29"/>
      <c r="G35" s="29"/>
      <c r="H35" s="29"/>
      <c r="I35" s="29"/>
      <c r="J35" s="29"/>
      <c r="K35" s="29"/>
      <c r="L35" s="252">
        <f>((SUM(E35))+((IF($G$24-(FLOOR($G$24/F$34,1)*F$34)&lt;ROUND(25%*F$34,0),FLOOR($G$24/F$34,1),CEILING($G$24/F$34,1)))*SUM(F35))+((IF($G$24-(FLOOR($G$24/G$34,1)*G$34)&lt;ROUND(25%*G$34,0),FLOOR($G$24/G$34,1),CEILING($G$24/G$34,1)))*SUM(G35))+((IF($G$24-(FLOOR($G$24/H$34,1)*H$34)&lt;ROUND(25%*H$34,0),FLOOR($G$24/H$34,1),CEILING($G$24/H$34,1)))*SUM(H35))+((IF($G$24-(FLOOR($G$24/I$34,1)*I$34)&lt;ROUND(25%*I$34,0),FLOOR($G$24/I$34,1),CEILING($G$24/I$34,1)))*SUM(I35))+((IF($G$24-(FLOOR($G$24/J$34,1)*J$34)&lt;ROUND(25%*J$34,0),FLOOR($G$24/J$34,1),CEILING($G$24/J$34,1)))*SUM(J35))+((IF($G$24-(FLOOR($G$24/K$34,1)*K$34)&lt;ROUND(25%*K$34,0),FLOOR($G$24/K$34,1),CEILING($G$24/K$34,1)))*SUM(K35)))/180</f>
        <v>0</v>
      </c>
      <c r="M35" s="31">
        <f>((SUM(E35))+((IF($G$24-(FLOOR($G$24/F$34,1)*F$34)&lt;ROUND(25%*F$34,0),FLOOR($G$24/F$34,1),CEILING($G$24/F$34,1)))*SUM(F35))+((IF($G$24-(FLOOR($G$24/G$34,1)*G$34)&lt;ROUND(25%*G$34,0),FLOOR($G$24/G$34,1),CEILING($G$24/G$34,1)))*SUM(G35))+((IF($G$24-(FLOOR($G$24/H$34,1)*H$34)&lt;ROUND(25%*H$34,0),FLOOR($G$24/H$34,1),CEILING($G$24/H$34,1)))*SUM(H35))+((IF($G$24-(FLOOR($G$24/I$34,1)*I$34)&lt;ROUND(25%*I$34,0),FLOOR($G$24/I$34,1),CEILING($G$24/I$34,1)))*SUM(I35))+((IF($G$24-(FLOOR($G$24/J$34,1)*J$34)&lt;ROUND(25%*J$34,0),FLOOR($G$24/J$34,1),CEILING($G$24/J$34,1)))*SUM(J35))+((IF($G$24-(FLOOR($G$24/K$34,1)*K$34)&lt;ROUND(25%*K$34,0),FLOOR($G$24/K$34,1),CEILING($G$24/K$34,1)))*SUM(K35)))*Arkusz1!C32</f>
        <v>0</v>
      </c>
      <c r="N35" s="51"/>
      <c r="O35" s="51"/>
      <c r="P35" s="51"/>
      <c r="Q35" s="51"/>
      <c r="R35" s="51"/>
      <c r="V35" s="52"/>
    </row>
    <row r="36" spans="2:22" ht="18.75" customHeight="1" x14ac:dyDescent="0.2">
      <c r="B36" s="105"/>
      <c r="C36" s="214" t="s">
        <v>221</v>
      </c>
      <c r="D36" s="108"/>
      <c r="E36" s="29"/>
      <c r="F36" s="29"/>
      <c r="G36" s="29"/>
      <c r="H36" s="29"/>
      <c r="I36" s="29"/>
      <c r="J36" s="29"/>
      <c r="K36" s="29"/>
      <c r="L36" s="4"/>
      <c r="M36" s="31">
        <f>((SUM(E36))+((IF($G$24-(FLOOR($G$24/F$34,1)*F$34)&lt;ROUND(25%*F$34,0),FLOOR($G$24/F$34,1),CEILING($G$24/F$34,1)))*SUM(F36))+((IF($G$24-(FLOOR($G$24/G$34,1)*G$34)&lt;ROUND(25%*G$34,0),FLOOR($G$24/G$34,1),CEILING($G$24/G$34,1)))*SUM(G36))+((IF($G$24-(FLOOR($G$24/H$34,1)*H$34)&lt;ROUND(25%*H$34,0),FLOOR($G$24/H$34,1),CEILING($G$24/H$34,1)))*SUM(H36))+((IF($G$24-(FLOOR($G$24/I$34,1)*I$34)&lt;ROUND(25%*I$34,0),FLOOR($G$24/I$34,1),CEILING($G$24/I$34,1)))*SUM(I36))+((IF($G$24-(FLOOR($G$24/J$34,1)*J$34)&lt;ROUND(25%*J$34,0),FLOOR($G$24/J$34,1),CEILING($G$24/J$34,1)))*SUM(J36))+((IF($G$24-(FLOOR($G$24/K$34,1)*K$34)&lt;ROUND(25%*K$34,0),FLOOR($G$24/K$34,1),CEILING($G$24/K$34,1)))*SUM(K36)))*Arkusz1!C33</f>
        <v>0</v>
      </c>
      <c r="N36" s="51"/>
      <c r="O36" s="51"/>
      <c r="P36" s="51"/>
      <c r="Q36" s="51"/>
      <c r="R36" s="51"/>
      <c r="S36" s="51"/>
      <c r="V36" s="53"/>
    </row>
    <row r="37" spans="2:22" ht="18.75" customHeight="1" x14ac:dyDescent="0.2">
      <c r="B37" s="105"/>
      <c r="C37" s="214" t="s">
        <v>57</v>
      </c>
      <c r="D37" s="108"/>
      <c r="E37" s="29"/>
      <c r="F37" s="29"/>
      <c r="G37" s="29"/>
      <c r="H37" s="29"/>
      <c r="I37" s="29"/>
      <c r="J37" s="29"/>
      <c r="K37" s="29"/>
      <c r="L37" s="4"/>
      <c r="M37" s="31">
        <f>((SUM(E37))+((IF($G$24-(FLOOR($G$24/F$34,1)*F$34)&lt;ROUND(25%*F$34,0),FLOOR($G$24/F$34,1),CEILING($G$24/F$34,1)))*SUM(F37))+((IF($G$24-(FLOOR($G$24/G$34,1)*G$34)&lt;ROUND(25%*G$34,0),FLOOR($G$24/G$34,1),CEILING($G$24/G$34,1)))*SUM(G37))+((IF($G$24-(FLOOR($G$24/H$34,1)*H$34)&lt;ROUND(25%*H$34,0),FLOOR($G$24/H$34,1),CEILING($G$24/H$34,1)))*SUM(H37))+((IF($G$24-(FLOOR($G$24/I$34,1)*I$34)&lt;ROUND(25%*I$34,0),FLOOR($G$24/I$34,1),CEILING($G$24/I$34,1)))*SUM(I37))+((IF($G$24-(FLOOR($G$24/J$34,1)*J$34)&lt;ROUND(25%*J$34,0),FLOOR($G$24/J$34,1),CEILING($G$24/J$34,1)))*SUM(J37))+((IF($G$24-(FLOOR($G$24/K$34,1)*K$34)&lt;ROUND(25%*K$34,0),FLOOR($G$24/K$34,1),CEILING($G$24/K$34,1)))*SUM(K37)))*Arkusz1!C34</f>
        <v>0</v>
      </c>
      <c r="N37" s="51"/>
      <c r="O37" s="51"/>
      <c r="P37" s="51"/>
      <c r="Q37" s="51"/>
      <c r="R37" s="51"/>
      <c r="S37" s="51"/>
    </row>
    <row r="38" spans="2:22" ht="18.75" customHeight="1" x14ac:dyDescent="0.2">
      <c r="B38" s="105"/>
      <c r="C38" s="214" t="s">
        <v>60</v>
      </c>
      <c r="D38" s="108"/>
      <c r="E38" s="29"/>
      <c r="F38" s="29"/>
      <c r="G38" s="29"/>
      <c r="H38" s="29"/>
      <c r="I38" s="29"/>
      <c r="J38" s="29"/>
      <c r="K38" s="29"/>
      <c r="L38" s="4"/>
      <c r="M38" s="31">
        <f>((SUM(E38))+((IF($G$24-(FLOOR($G$24/F$34,1)*F$34)&lt;ROUND(25%*F$34,0),FLOOR($G$24/F$34,1),CEILING($G$24/F$34,1)))*SUM(F38))+((IF($G$24-(FLOOR($G$24/G$34,1)*G$34)&lt;ROUND(25%*G$34,0),FLOOR($G$24/G$34,1),CEILING($G$24/G$34,1)))*SUM(G38))+((IF($G$24-(FLOOR($G$24/H$34,1)*H$34)&lt;ROUND(25%*H$34,0),FLOOR($G$24/H$34,1),CEILING($G$24/H$34,1)))*SUM(H38))+((IF($G$24-(FLOOR($G$24/I$34,1)*I$34)&lt;ROUND(25%*I$34,0),FLOOR($G$24/I$34,1),CEILING($G$24/I$34,1)))*SUM(I38))+((IF($G$24-(FLOOR($G$24/J$34,1)*J$34)&lt;ROUND(25%*J$34,0),FLOOR($G$24/J$34,1),CEILING($G$24/J$34,1)))*SUM(J38))+((IF($G$24-(FLOOR($G$24/K$34,1)*K$34)&lt;ROUND(25%*K$34,0),FLOOR($G$24/K$34,1),CEILING($G$24/K$34,1)))*SUM(K38)))*Arkusz1!C35</f>
        <v>0</v>
      </c>
      <c r="N38" s="51"/>
      <c r="O38" s="51"/>
      <c r="P38" s="48"/>
      <c r="Q38" s="51"/>
      <c r="R38" s="51"/>
      <c r="S38" s="51"/>
      <c r="V38" s="52"/>
    </row>
    <row r="39" spans="2:22" ht="18.75" customHeight="1" x14ac:dyDescent="0.2">
      <c r="B39" s="105"/>
      <c r="C39" s="258" t="s">
        <v>217</v>
      </c>
      <c r="D39" s="108"/>
      <c r="E39" s="29"/>
      <c r="F39" s="29"/>
      <c r="G39" s="29"/>
      <c r="H39" s="29"/>
      <c r="I39" s="29"/>
      <c r="J39" s="29"/>
      <c r="K39" s="29"/>
      <c r="L39" s="4"/>
      <c r="M39" s="31">
        <f>((SUM(E39))+((IF($G$24-(FLOOR($G$24/F$34,1)*F$34)&lt;ROUND(25%*F$34,0),FLOOR($G$24/F$34,1),CEILING($G$24/F$34,1)))*SUM(F39))+((IF($G$24-(FLOOR($G$24/G$34,1)*G$34)&lt;ROUND(25%*G$34,0),FLOOR($G$24/G$34,1),CEILING($G$24/G$34,1)))*SUM(G39))+((IF($G$24-(FLOOR($G$24/H$34,1)*H$34)&lt;ROUND(25%*H$34,0),FLOOR($G$24/H$34,1),CEILING($G$24/H$34,1)))*SUM(H39))+((IF($G$24-(FLOOR($G$24/I$34,1)*I$34)&lt;ROUND(25%*I$34,0),FLOOR($G$24/I$34,1),CEILING($G$24/I$34,1)))*SUM(I39))+((IF($G$24-(FLOOR($G$24/J$34,1)*J$34)&lt;ROUND(25%*J$34,0),FLOOR($G$24/J$34,1),CEILING($G$24/J$34,1)))*SUM(J39))+((IF($G$24-(FLOOR($G$24/K$34,1)*K$34)&lt;ROUND(25%*K$34,0),FLOOR($G$24/K$34,1),CEILING($G$24/K$34,1)))*SUM(K39)))*Arkusz1!C36</f>
        <v>0</v>
      </c>
      <c r="N39" s="51"/>
      <c r="O39" s="51"/>
      <c r="P39" s="51"/>
      <c r="Q39" s="51"/>
      <c r="R39" s="51"/>
      <c r="S39" s="51"/>
      <c r="V39" s="53"/>
    </row>
    <row r="40" spans="2:22" ht="16.5" customHeight="1" x14ac:dyDescent="0.2">
      <c r="B40" s="105"/>
      <c r="C40" s="249"/>
      <c r="D40" s="250"/>
      <c r="E40" s="239"/>
      <c r="F40" s="239"/>
      <c r="G40" s="239"/>
      <c r="H40" s="239"/>
      <c r="I40" s="239"/>
      <c r="J40" s="239"/>
      <c r="K40" s="239"/>
      <c r="L40" s="4"/>
      <c r="M40" s="31"/>
      <c r="N40" s="51"/>
      <c r="O40" s="51"/>
      <c r="P40" s="51"/>
      <c r="Q40" s="51"/>
      <c r="R40" s="51"/>
      <c r="S40" s="51"/>
      <c r="V40" s="53"/>
    </row>
    <row r="41" spans="2:22" ht="16.5" customHeight="1" x14ac:dyDescent="0.2">
      <c r="B41" s="105"/>
      <c r="C41" s="326" t="s">
        <v>39</v>
      </c>
      <c r="D41" s="326"/>
      <c r="E41" s="239"/>
      <c r="F41" s="239"/>
      <c r="G41" s="239"/>
      <c r="H41" s="239"/>
      <c r="I41" s="239"/>
      <c r="J41" s="239"/>
      <c r="K41" s="239"/>
      <c r="L41" s="4"/>
      <c r="M41" s="31"/>
      <c r="N41" s="51"/>
      <c r="O41" s="51"/>
      <c r="P41" s="51"/>
      <c r="Q41" s="51"/>
      <c r="R41" s="51"/>
      <c r="S41" s="51"/>
      <c r="V41" s="53"/>
    </row>
    <row r="42" spans="2:22" ht="18.75" customHeight="1" x14ac:dyDescent="0.2">
      <c r="B42" s="105"/>
      <c r="C42" s="214" t="s">
        <v>71</v>
      </c>
      <c r="D42" s="108"/>
      <c r="E42" s="29"/>
      <c r="F42" s="29"/>
      <c r="G42" s="29"/>
      <c r="H42" s="29"/>
      <c r="I42" s="29"/>
      <c r="J42" s="29"/>
      <c r="K42" s="29"/>
      <c r="L42" s="4"/>
      <c r="M42" s="31">
        <f>((SUM(E42))+((IF($G$24-(FLOOR($G$24/F$34,1)*F$34)&lt;ROUND(25%*F$34,0),FLOOR($G$24/F$34,1),CEILING($G$24/F$34,1)))*SUM(F42))+((IF($G$24-(FLOOR($G$24/G$34,1)*G$34)&lt;ROUND(25%*G$34,0),FLOOR($G$24/G$34,1),CEILING($G$24/G$34,1)))*SUM(G42))+((IF($G$24-(FLOOR($G$24/H$34,1)*H$34)&lt;ROUND(25%*H$34,0),FLOOR($G$24/H$34,1),CEILING($G$24/H$34,1)))*SUM(H42))+((IF($G$24-(FLOOR($G$24/I$34,1)*I$34)&lt;ROUND(25%*I$34,0),FLOOR($G$24/I$34,1),CEILING($G$24/I$34,1)))*SUM(I42))+((IF($G$24-(FLOOR($G$24/J$34,1)*J$34)&lt;ROUND(25%*J$34,0),FLOOR($G$24/J$34,1),CEILING($G$24/J$34,1)))*SUM(J42))+((IF($G$24-(FLOOR($G$24/K$34,1)*K$34)&lt;ROUND(25%*K$34,0),FLOOR($G$24/K$34,1),CEILING($G$24/K$34,1)))*SUM(K42)))*Arkusz1!C25</f>
        <v>0</v>
      </c>
      <c r="N42" s="51"/>
      <c r="O42" s="51"/>
      <c r="P42" s="51"/>
      <c r="Q42" s="51"/>
      <c r="R42" s="51"/>
      <c r="S42" s="51"/>
    </row>
    <row r="43" spans="2:22" ht="18.75" customHeight="1" x14ac:dyDescent="0.2">
      <c r="B43" s="105"/>
      <c r="C43" s="214" t="s">
        <v>221</v>
      </c>
      <c r="D43" s="108"/>
      <c r="E43" s="29"/>
      <c r="F43" s="29"/>
      <c r="G43" s="29"/>
      <c r="H43" s="29"/>
      <c r="I43" s="29"/>
      <c r="J43" s="29"/>
      <c r="K43" s="29"/>
      <c r="L43" s="4"/>
      <c r="M43" s="31">
        <f>((SUM(E43))+((IF($G$24-(FLOOR($G$24/F$34,1)*F$34)&lt;ROUND(25%*F$34,0),FLOOR($G$24/F$34,1),CEILING($G$24/F$34,1)))*SUM(F43))+((IF($G$24-(FLOOR($G$24/G$34,1)*G$34)&lt;ROUND(25%*G$34,0),FLOOR($G$24/G$34,1),CEILING($G$24/G$34,1)))*SUM(G43))+((IF($G$24-(FLOOR($G$24/H$34,1)*H$34)&lt;ROUND(25%*H$34,0),FLOOR($G$24/H$34,1),CEILING($G$24/H$34,1)))*SUM(H43))+((IF($G$24-(FLOOR($G$24/I$34,1)*I$34)&lt;ROUND(25%*I$34,0),FLOOR($G$24/I$34,1),CEILING($G$24/I$34,1)))*SUM(I43))+((IF($G$24-(FLOOR($G$24/J$34,1)*J$34)&lt;ROUND(25%*J$34,0),FLOOR($G$24/J$34,1),CEILING($G$24/J$34,1)))*SUM(J43))+((IF($G$24-(FLOOR($G$24/K$34,1)*K$34)&lt;ROUND(25%*K$34,0),FLOOR($G$24/K$34,1),CEILING($G$24/K$34,1)))*SUM(K43)))*Arkusz1!C26</f>
        <v>0</v>
      </c>
      <c r="N43" s="51"/>
      <c r="O43" s="51"/>
      <c r="P43" s="51"/>
      <c r="Q43" s="51"/>
      <c r="R43" s="51"/>
      <c r="S43" s="51"/>
      <c r="V43" s="52"/>
    </row>
    <row r="44" spans="2:22" ht="18.75" customHeight="1" x14ac:dyDescent="0.2">
      <c r="B44" s="105"/>
      <c r="C44" s="214" t="s">
        <v>57</v>
      </c>
      <c r="D44" s="108"/>
      <c r="E44" s="29"/>
      <c r="F44" s="29"/>
      <c r="G44" s="29"/>
      <c r="H44" s="29"/>
      <c r="I44" s="29"/>
      <c r="J44" s="29"/>
      <c r="K44" s="29"/>
      <c r="L44" s="4"/>
      <c r="M44" s="31">
        <f>((SUM(E44))+((IF($G$24-(FLOOR($G$24/F$34,1)*F$34)&lt;ROUND(25%*F$34,0),FLOOR($G$24/F$34,1),CEILING($G$24/F$34,1)))*SUM(F44))+((IF($G$24-(FLOOR($G$24/G$34,1)*G$34)&lt;ROUND(25%*G$34,0),FLOOR($G$24/G$34,1),CEILING($G$24/G$34,1)))*SUM(G44))+((IF($G$24-(FLOOR($G$24/H$34,1)*H$34)&lt;ROUND(25%*H$34,0),FLOOR($G$24/H$34,1),CEILING($G$24/H$34,1)))*SUM(H44))+((IF($G$24-(FLOOR($G$24/I$34,1)*I$34)&lt;ROUND(25%*I$34,0),FLOOR($G$24/I$34,1),CEILING($G$24/I$34,1)))*SUM(I44))+((IF($G$24-(FLOOR($G$24/J$34,1)*J$34)&lt;ROUND(25%*J$34,0),FLOOR($G$24/J$34,1),CEILING($G$24/J$34,1)))*SUM(J44))+((IF($G$24-(FLOOR($G$24/K$34,1)*K$34)&lt;ROUND(25%*K$34,0),FLOOR($G$24/K$34,1),CEILING($G$24/K$34,1)))*SUM(K44)))*Arkusz1!C27</f>
        <v>0</v>
      </c>
      <c r="N44" s="51"/>
      <c r="O44" s="51"/>
      <c r="P44" s="51"/>
      <c r="Q44" s="51"/>
      <c r="R44" s="51"/>
      <c r="S44" s="51"/>
      <c r="V44" s="53"/>
    </row>
    <row r="45" spans="2:22" ht="18.75" customHeight="1" x14ac:dyDescent="0.2">
      <c r="B45" s="105"/>
      <c r="C45" s="214" t="s">
        <v>60</v>
      </c>
      <c r="D45" s="108"/>
      <c r="E45" s="29"/>
      <c r="F45" s="29"/>
      <c r="G45" s="29"/>
      <c r="H45" s="29"/>
      <c r="I45" s="29"/>
      <c r="J45" s="29"/>
      <c r="K45" s="29"/>
      <c r="L45" s="4"/>
      <c r="M45" s="31">
        <f>((SUM(E45))+((IF($G$24-(FLOOR($G$24/F$34,1)*F$34)&lt;ROUND(25%*F$34,0),FLOOR($G$24/F$34,1),CEILING($G$24/F$34,1)))*SUM(F45))+((IF($G$24-(FLOOR($G$24/G$34,1)*G$34)&lt;ROUND(25%*G$34,0),FLOOR($G$24/G$34,1),CEILING($G$24/G$34,1)))*SUM(G45))+((IF($G$24-(FLOOR($G$24/H$34,1)*H$34)&lt;ROUND(25%*H$34,0),FLOOR($G$24/H$34,1),CEILING($G$24/H$34,1)))*SUM(H45))+((IF($G$24-(FLOOR($G$24/I$34,1)*I$34)&lt;ROUND(25%*I$34,0),FLOOR($G$24/I$34,1),CEILING($G$24/I$34,1)))*SUM(I45))+((IF($G$24-(FLOOR($G$24/J$34,1)*J$34)&lt;ROUND(25%*J$34,0),FLOOR($G$24/J$34,1),CEILING($G$24/J$34,1)))*SUM(J45))+((IF($G$24-(FLOOR($G$24/K$34,1)*K$34)&lt;ROUND(25%*K$34,0),FLOOR($G$24/K$34,1),CEILING($G$24/K$34,1)))*SUM(K45)))*Arkusz1!C28</f>
        <v>0</v>
      </c>
      <c r="N45" s="51"/>
      <c r="O45" s="51"/>
      <c r="P45" s="51"/>
      <c r="Q45" s="51"/>
      <c r="R45" s="51"/>
      <c r="S45" s="51"/>
    </row>
    <row r="46" spans="2:22" ht="18.75" customHeight="1" x14ac:dyDescent="0.2">
      <c r="B46" s="105"/>
      <c r="C46" s="258" t="s">
        <v>217</v>
      </c>
      <c r="D46" s="108"/>
      <c r="E46" s="29"/>
      <c r="F46" s="29"/>
      <c r="G46" s="29"/>
      <c r="H46" s="29"/>
      <c r="I46" s="29"/>
      <c r="J46" s="29"/>
      <c r="K46" s="29"/>
      <c r="L46" s="4"/>
      <c r="M46" s="31">
        <f>((SUM(E46))+((IF($G$24-(FLOOR($G$24/F$34,1)*F$34)&lt;ROUND(25%*F$34,0),FLOOR($G$24/F$34,1),CEILING($G$24/F$34,1)))*SUM(F46))+((IF($G$24-(FLOOR($G$24/G$34,1)*G$34)&lt;ROUND(25%*G$34,0),FLOOR($G$24/G$34,1),CEILING($G$24/G$34,1)))*SUM(G46))+((IF($G$24-(FLOOR($G$24/H$34,1)*H$34)&lt;ROUND(25%*H$34,0),FLOOR($G$24/H$34,1),CEILING($G$24/H$34,1)))*SUM(H46))+((IF($G$24-(FLOOR($G$24/I$34,1)*I$34)&lt;ROUND(25%*I$34,0),FLOOR($G$24/I$34,1),CEILING($G$24/I$34,1)))*SUM(I46))+((IF($G$24-(FLOOR($G$24/J$34,1)*J$34)&lt;ROUND(25%*J$34,0),FLOOR($G$24/J$34,1),CEILING($G$24/J$34,1)))*SUM(J46))+((IF($G$24-(FLOOR($G$24/K$34,1)*K$34)&lt;ROUND(25%*K$34,0),FLOOR($G$24/K$34,1),CEILING($G$24/K$34,1)))*SUM(K46)))*Arkusz1!C29</f>
        <v>0</v>
      </c>
      <c r="N46" s="51"/>
      <c r="O46" s="51"/>
      <c r="P46" s="51"/>
      <c r="Q46" s="51"/>
      <c r="R46" s="51"/>
      <c r="S46" s="51"/>
    </row>
    <row r="47" spans="2:22" ht="16.5" customHeight="1" x14ac:dyDescent="0.2">
      <c r="B47" s="105"/>
      <c r="C47" s="249"/>
      <c r="D47" s="250"/>
      <c r="E47" s="261"/>
      <c r="F47" s="261"/>
      <c r="G47" s="261"/>
      <c r="H47" s="261"/>
      <c r="I47" s="261"/>
      <c r="J47" s="261"/>
      <c r="K47" s="261"/>
      <c r="L47" s="4"/>
      <c r="M47" s="31"/>
      <c r="N47" s="51"/>
      <c r="O47" s="51"/>
      <c r="P47" s="51"/>
      <c r="Q47" s="51"/>
      <c r="R47" s="51"/>
      <c r="S47" s="51"/>
    </row>
    <row r="48" spans="2:22" ht="14.25" x14ac:dyDescent="0.2">
      <c r="B48" s="105"/>
      <c r="C48" s="79"/>
      <c r="D48" s="79"/>
      <c r="E48" s="79"/>
      <c r="F48" s="79"/>
      <c r="G48" s="79"/>
      <c r="H48" s="79"/>
      <c r="I48" s="79"/>
      <c r="J48" s="109"/>
      <c r="K48" s="110"/>
      <c r="L48" s="110"/>
      <c r="M48" s="145">
        <f>SUM(M35:M46)</f>
        <v>0</v>
      </c>
      <c r="N48" s="51"/>
      <c r="O48" s="51"/>
      <c r="P48" s="48"/>
      <c r="Q48" s="51"/>
      <c r="R48" s="51"/>
      <c r="S48" s="51"/>
    </row>
    <row r="49" spans="2:19" ht="14.25" customHeight="1" x14ac:dyDescent="0.2">
      <c r="B49" s="105"/>
      <c r="C49" s="66"/>
      <c r="D49" s="66"/>
      <c r="E49" s="66"/>
      <c r="F49" s="66"/>
      <c r="G49" s="66"/>
      <c r="H49" s="248" t="s">
        <v>70</v>
      </c>
      <c r="I49" s="182" t="str">
        <f>IF(E10="","0",19.64%+0.36%)</f>
        <v>0</v>
      </c>
      <c r="J49" s="323" t="s">
        <v>69</v>
      </c>
      <c r="K49" s="323"/>
      <c r="L49" s="324"/>
      <c r="M49" s="111">
        <f>ROUND(M48*I49,0)</f>
        <v>0</v>
      </c>
      <c r="N49" s="51"/>
      <c r="O49" s="51"/>
      <c r="P49" s="51"/>
      <c r="Q49" s="51"/>
      <c r="R49" s="51"/>
      <c r="S49" s="51"/>
    </row>
    <row r="50" spans="2:19" ht="15" x14ac:dyDescent="0.2">
      <c r="B50" s="112"/>
      <c r="C50" s="113"/>
      <c r="D50" s="113"/>
      <c r="E50" s="113"/>
      <c r="F50" s="113"/>
      <c r="G50" s="113"/>
      <c r="H50" s="113"/>
      <c r="I50" s="113"/>
      <c r="J50" s="114"/>
      <c r="K50" s="114"/>
      <c r="L50" s="114"/>
      <c r="M50" s="115"/>
      <c r="N50" s="51"/>
      <c r="O50" s="51"/>
      <c r="P50" s="48"/>
      <c r="Q50" s="51"/>
      <c r="R50" s="51"/>
      <c r="S50" s="51"/>
    </row>
    <row r="51" spans="2:19" ht="14.25" x14ac:dyDescent="0.2">
      <c r="B51" s="116"/>
      <c r="C51" s="117" t="s">
        <v>130</v>
      </c>
      <c r="D51" s="118" t="s">
        <v>254</v>
      </c>
      <c r="E51" s="118"/>
      <c r="F51" s="118"/>
      <c r="G51" s="118"/>
      <c r="H51" s="118"/>
      <c r="I51" s="118"/>
      <c r="J51" s="118"/>
      <c r="K51" s="118"/>
      <c r="L51" s="118"/>
      <c r="M51" s="119"/>
      <c r="N51" s="51"/>
      <c r="O51" s="51"/>
      <c r="P51" s="51"/>
      <c r="Q51" s="51"/>
      <c r="R51" s="51"/>
      <c r="S51" s="51"/>
    </row>
    <row r="52" spans="2:19" ht="14.25" x14ac:dyDescent="0.2">
      <c r="B52" s="105"/>
      <c r="C52" s="107"/>
      <c r="D52" s="79"/>
      <c r="E52" s="79"/>
      <c r="F52" s="79"/>
      <c r="G52" s="79"/>
      <c r="H52" s="79"/>
      <c r="I52" s="66"/>
      <c r="J52" s="79"/>
      <c r="K52" s="79"/>
      <c r="L52" s="79"/>
      <c r="M52" s="31"/>
      <c r="N52" s="51"/>
      <c r="O52" s="51"/>
      <c r="P52" s="51"/>
      <c r="Q52" s="51"/>
      <c r="R52" s="51"/>
      <c r="S52" s="51"/>
    </row>
    <row r="53" spans="2:19" ht="14.25" x14ac:dyDescent="0.2">
      <c r="B53" s="82"/>
      <c r="C53" s="79"/>
      <c r="D53" s="79"/>
      <c r="E53" s="79"/>
      <c r="F53" s="290"/>
      <c r="G53" s="290"/>
      <c r="H53" s="290"/>
      <c r="I53" s="290"/>
      <c r="J53" s="79"/>
      <c r="K53" s="79"/>
      <c r="L53" s="79"/>
      <c r="M53" s="31"/>
      <c r="N53" s="51"/>
      <c r="O53" s="51"/>
      <c r="P53" s="51"/>
      <c r="Q53" s="51"/>
      <c r="R53" s="51"/>
      <c r="S53" s="51"/>
    </row>
    <row r="54" spans="2:19" ht="18.75" customHeight="1" x14ac:dyDescent="0.2">
      <c r="B54" s="82"/>
      <c r="C54" s="242" t="s">
        <v>62</v>
      </c>
      <c r="D54" s="187"/>
      <c r="E54" s="184" t="s">
        <v>210</v>
      </c>
      <c r="F54" s="184" t="s">
        <v>211</v>
      </c>
      <c r="G54" s="185" t="s">
        <v>212</v>
      </c>
      <c r="H54" s="184" t="s">
        <v>213</v>
      </c>
      <c r="I54" s="184" t="s">
        <v>214</v>
      </c>
      <c r="J54" s="184" t="s">
        <v>215</v>
      </c>
      <c r="K54" s="184" t="s">
        <v>216</v>
      </c>
      <c r="L54" s="79"/>
      <c r="M54" s="31"/>
      <c r="N54" s="51"/>
      <c r="O54" s="51"/>
      <c r="P54" s="48"/>
      <c r="Q54" s="51"/>
      <c r="R54" s="51"/>
      <c r="S54" s="51"/>
    </row>
    <row r="55" spans="2:19" ht="18.75" customHeight="1" x14ac:dyDescent="0.2">
      <c r="B55" s="82"/>
      <c r="C55" s="186" t="s">
        <v>71</v>
      </c>
      <c r="D55" s="187"/>
      <c r="E55" s="29"/>
      <c r="F55" s="29"/>
      <c r="G55" s="29"/>
      <c r="H55" s="29"/>
      <c r="I55" s="29"/>
      <c r="J55" s="29"/>
      <c r="K55" s="29"/>
      <c r="L55" s="253">
        <v>54</v>
      </c>
      <c r="M55" s="31">
        <f>((SUM(E55))+((IF($G$24-(FLOOR($G$24/F$34,1)*F$34)&lt;ROUND(25%*F$34,0),FLOOR($G$24/F$34,1),CEILING($G$24/F$34,1)))*SUM(F55))+((IF($G$24-(FLOOR($G$24/G$34,1)*G$34)&lt;ROUND(25%*G$34,0),FLOOR($G$24/G$34,1),CEILING($G$24/G$34,1)))*SUM(G55))+((IF($G$24-(FLOOR($G$24/H$34,1)*H$34)&lt;ROUND(25%*H$34,0),FLOOR($G$24/H$34,1),CEILING($G$24/H$34,1)))*SUM(H55))+((IF($G$24-(FLOOR($G$24/I$34,1)*I$34)&lt;ROUND(25%*I$34,0),FLOOR($G$24/I$34,1),CEILING($G$24/I$34,1)))*SUM(I55))+((IF($G$24-(FLOOR($G$24/J$34,1)*J$34)&lt;ROUND(25%*J$34,0),FLOOR($G$24/J$34,1),CEILING($G$24/J$34,1)))*SUM(J55))+((IF($G$24-(FLOOR($G$24/K$34,1)*K$34)&lt;ROUND(25%*K$34,0),FLOOR($G$24/K$34,1),CEILING($G$24/K$34,1)))*SUM(K55)))*Arkusz1!C39</f>
        <v>0</v>
      </c>
      <c r="N55" s="51"/>
      <c r="O55" s="51"/>
      <c r="P55" s="51"/>
      <c r="Q55" s="51"/>
      <c r="R55" s="51"/>
      <c r="S55" s="51"/>
    </row>
    <row r="56" spans="2:19" ht="18.75" customHeight="1" x14ac:dyDescent="0.2">
      <c r="B56" s="82"/>
      <c r="C56" s="186" t="s">
        <v>50</v>
      </c>
      <c r="D56" s="187"/>
      <c r="E56" s="29"/>
      <c r="F56" s="29"/>
      <c r="G56" s="29"/>
      <c r="H56" s="29"/>
      <c r="I56" s="29"/>
      <c r="J56" s="29"/>
      <c r="K56" s="29"/>
      <c r="L56" s="253">
        <v>45</v>
      </c>
      <c r="M56" s="31">
        <f>((SUM(E56))+((IF($G$24-(FLOOR($G$24/F$34,1)*F$34)&lt;ROUND(25%*F$34,0),FLOOR($G$24/F$34,1),CEILING($G$24/F$34,1)))*SUM(F56))+((IF($G$24-(FLOOR($G$24/G$34,1)*G$34)&lt;ROUND(25%*G$34,0),FLOOR($G$24/G$34,1),CEILING($G$24/G$34,1)))*SUM(G56))+((IF($G$24-(FLOOR($G$24/H$34,1)*H$34)&lt;ROUND(25%*H$34,0),FLOOR($G$24/H$34,1),CEILING($G$24/H$34,1)))*SUM(H56))+((IF($G$24-(FLOOR($G$24/I$34,1)*I$34)&lt;ROUND(25%*I$34,0),FLOOR($G$24/I$34,1),CEILING($G$24/I$34,1)))*SUM(I56))+((IF($G$24-(FLOOR($G$24/J$34,1)*J$34)&lt;ROUND(25%*J$34,0),FLOOR($G$24/J$34,1),CEILING($G$24/J$34,1)))*SUM(J56))+((IF($G$24-(FLOOR($G$24/K$34,1)*K$34)&lt;ROUND(25%*K$34,0),FLOOR($G$24/K$34,1),CEILING($G$24/K$34,1)))*SUM(K56)))*Arkusz1!C40</f>
        <v>0</v>
      </c>
      <c r="N56" s="51"/>
      <c r="O56" s="51"/>
      <c r="P56" s="51"/>
      <c r="Q56" s="51"/>
      <c r="R56" s="51"/>
      <c r="S56" s="51"/>
    </row>
    <row r="57" spans="2:19" ht="18.75" customHeight="1" x14ac:dyDescent="0.2">
      <c r="B57" s="82"/>
      <c r="C57" s="186" t="s">
        <v>51</v>
      </c>
      <c r="D57" s="187"/>
      <c r="E57" s="29"/>
      <c r="F57" s="29"/>
      <c r="G57" s="29"/>
      <c r="H57" s="29"/>
      <c r="I57" s="29"/>
      <c r="J57" s="29"/>
      <c r="K57" s="29"/>
      <c r="L57" s="253">
        <v>43</v>
      </c>
      <c r="M57" s="31">
        <f>((SUM(E57))+((IF($G$24-(FLOOR($G$24/F$34,1)*F$34)&lt;ROUND(25%*F$34,0),FLOOR($G$24/F$34,1),CEILING($G$24/F$34,1)))*SUM(F57))+((IF($G$24-(FLOOR($G$24/G$34,1)*G$34)&lt;ROUND(25%*G$34,0),FLOOR($G$24/G$34,1),CEILING($G$24/G$34,1)))*SUM(G57))+((IF($G$24-(FLOOR($G$24/H$34,1)*H$34)&lt;ROUND(25%*H$34,0),FLOOR($G$24/H$34,1),CEILING($G$24/H$34,1)))*SUM(H57))+((IF($G$24-(FLOOR($G$24/I$34,1)*I$34)&lt;ROUND(25%*I$34,0),FLOOR($G$24/I$34,1),CEILING($G$24/I$34,1)))*SUM(I57))+((IF($G$24-(FLOOR($G$24/J$34,1)*J$34)&lt;ROUND(25%*J$34,0),FLOOR($G$24/J$34,1),CEILING($G$24/J$34,1)))*SUM(J57))+((IF($G$24-(FLOOR($G$24/K$34,1)*K$34)&lt;ROUND(25%*K$34,0),FLOOR($G$24/K$34,1),CEILING($G$24/K$34,1)))*SUM(K57)))*Arkusz1!C41</f>
        <v>0</v>
      </c>
      <c r="N57" s="51"/>
      <c r="O57" s="51"/>
      <c r="P57" s="51"/>
      <c r="Q57" s="51"/>
      <c r="R57" s="51"/>
      <c r="S57" s="51"/>
    </row>
    <row r="58" spans="2:19" ht="18.75" customHeight="1" x14ac:dyDescent="0.2">
      <c r="B58" s="82"/>
      <c r="C58" s="186" t="s">
        <v>52</v>
      </c>
      <c r="D58" s="187"/>
      <c r="E58" s="29"/>
      <c r="F58" s="29"/>
      <c r="G58" s="29"/>
      <c r="H58" s="29"/>
      <c r="I58" s="29"/>
      <c r="J58" s="29"/>
      <c r="K58" s="29"/>
      <c r="L58" s="253">
        <v>30</v>
      </c>
      <c r="M58" s="31">
        <f>((SUM(E58))+((IF($G$24-(FLOOR($G$24/F$34,1)*F$34)&lt;ROUND(25%*F$34,0),FLOOR($G$24/F$34,1),CEILING($G$24/F$34,1)))*SUM(F58))+((IF($G$24-(FLOOR($G$24/G$34,1)*G$34)&lt;ROUND(25%*G$34,0),FLOOR($G$24/G$34,1),CEILING($G$24/G$34,1)))*SUM(G58))+((IF($G$24-(FLOOR($G$24/H$34,1)*H$34)&lt;ROUND(25%*H$34,0),FLOOR($G$24/H$34,1),CEILING($G$24/H$34,1)))*SUM(H58))+((IF($G$24-(FLOOR($G$24/I$34,1)*I$34)&lt;ROUND(25%*I$34,0),FLOOR($G$24/I$34,1),CEILING($G$24/I$34,1)))*SUM(I58))+((IF($G$24-(FLOOR($G$24/J$34,1)*J$34)&lt;ROUND(25%*J$34,0),FLOOR($G$24/J$34,1),CEILING($G$24/J$34,1)))*SUM(J58))+((IF($G$24-(FLOOR($G$24/K$34,1)*K$34)&lt;ROUND(25%*K$34,0),FLOOR($G$24/K$34,1),CEILING($G$24/K$34,1)))*SUM(K58)))*Arkusz1!C42</f>
        <v>0</v>
      </c>
      <c r="N58" s="51"/>
      <c r="O58" s="51"/>
      <c r="P58" s="51"/>
      <c r="Q58" s="51"/>
      <c r="R58" s="51"/>
      <c r="S58" s="51"/>
    </row>
    <row r="59" spans="2:19" ht="20.100000000000001" customHeight="1" x14ac:dyDescent="0.2">
      <c r="B59" s="82"/>
      <c r="C59" s="79"/>
      <c r="D59" s="79"/>
      <c r="E59" s="79"/>
      <c r="F59" s="79"/>
      <c r="G59" s="79"/>
      <c r="H59" s="79"/>
      <c r="I59" s="79"/>
      <c r="J59" s="109"/>
      <c r="K59" s="109"/>
      <c r="L59" s="109"/>
      <c r="M59" s="145">
        <f>SUM(M55:M58)</f>
        <v>0</v>
      </c>
      <c r="P59" s="51"/>
    </row>
    <row r="60" spans="2:19" ht="18.75" customHeight="1" x14ac:dyDescent="0.2">
      <c r="B60" s="82"/>
      <c r="C60" s="294" t="s">
        <v>72</v>
      </c>
      <c r="D60" s="295"/>
      <c r="E60" s="30" t="str">
        <f>I49</f>
        <v>0</v>
      </c>
      <c r="F60" s="296" t="s">
        <v>223</v>
      </c>
      <c r="G60" s="297"/>
      <c r="H60" s="297"/>
      <c r="I60" s="297"/>
      <c r="J60" s="297"/>
      <c r="K60" s="232"/>
      <c r="L60" s="183"/>
      <c r="M60" s="111">
        <f>ROUND(M59*E60,0)</f>
        <v>0</v>
      </c>
    </row>
    <row r="61" spans="2:19" ht="14.25" x14ac:dyDescent="0.2">
      <c r="B61" s="120"/>
      <c r="C61" s="121"/>
      <c r="D61" s="121"/>
      <c r="E61" s="121"/>
      <c r="F61" s="121"/>
      <c r="G61" s="121"/>
      <c r="H61" s="121"/>
      <c r="I61" s="121"/>
      <c r="J61" s="122"/>
      <c r="K61" s="122"/>
      <c r="L61" s="122"/>
      <c r="M61" s="123"/>
    </row>
    <row r="62" spans="2:19" ht="14.25" hidden="1" x14ac:dyDescent="0.2">
      <c r="B62" s="124"/>
      <c r="C62" s="125" t="s">
        <v>131</v>
      </c>
      <c r="D62" s="139" t="str">
        <f>IF(E5="KOSZTORYS STUDIÓW NIESTACJONARNYCH",Arkusz2!B19,Arkusz2!B18)</f>
        <v>Wynagrodzenie za kierownie studiami / kursem   (umowa - zlecenie)</v>
      </c>
      <c r="E62" s="139"/>
      <c r="F62" s="126"/>
      <c r="G62" s="126"/>
      <c r="H62" s="126"/>
      <c r="I62" s="126"/>
      <c r="J62" s="126"/>
      <c r="K62" s="126"/>
      <c r="L62" s="126"/>
      <c r="M62" s="127"/>
    </row>
    <row r="63" spans="2:19" ht="24" hidden="1" customHeight="1" x14ac:dyDescent="0.2">
      <c r="B63" s="33"/>
      <c r="C63" s="216" t="s">
        <v>46</v>
      </c>
      <c r="D63" s="300"/>
      <c r="E63" s="300"/>
      <c r="F63" s="96" t="s">
        <v>154</v>
      </c>
      <c r="G63" s="79"/>
      <c r="H63" s="79"/>
      <c r="I63" s="79"/>
      <c r="J63" s="79"/>
      <c r="K63" s="79"/>
      <c r="L63" s="79"/>
      <c r="M63" s="217">
        <f>D63*F13</f>
        <v>0</v>
      </c>
    </row>
    <row r="64" spans="2:19" ht="25.5" hidden="1" customHeight="1" x14ac:dyDescent="0.2">
      <c r="B64" s="33"/>
      <c r="C64" s="216" t="s">
        <v>134</v>
      </c>
      <c r="D64" s="218"/>
      <c r="E64" s="215" t="s">
        <v>135</v>
      </c>
      <c r="F64" s="219"/>
      <c r="G64" s="96" t="s">
        <v>136</v>
      </c>
      <c r="H64" s="96"/>
      <c r="I64" s="96"/>
      <c r="J64" s="96"/>
      <c r="K64" s="96"/>
      <c r="L64" s="96"/>
      <c r="M64" s="217">
        <f>D64*F64</f>
        <v>0</v>
      </c>
    </row>
    <row r="65" spans="2:40" ht="24" hidden="1" customHeight="1" x14ac:dyDescent="0.2">
      <c r="B65" s="33"/>
      <c r="C65" s="216" t="s">
        <v>137</v>
      </c>
      <c r="D65" s="299" t="s">
        <v>138</v>
      </c>
      <c r="E65" s="299"/>
      <c r="F65" s="220" t="str">
        <f>I49</f>
        <v>0</v>
      </c>
      <c r="G65" s="96" t="s">
        <v>139</v>
      </c>
      <c r="H65" s="96"/>
      <c r="I65" s="96"/>
      <c r="J65" s="96"/>
      <c r="K65" s="96"/>
      <c r="L65" s="96"/>
      <c r="M65" s="217">
        <f>ROUND((M63+M64)*F65,0)</f>
        <v>0</v>
      </c>
      <c r="N65" s="54"/>
    </row>
    <row r="66" spans="2:40" ht="14.25" hidden="1" x14ac:dyDescent="0.2">
      <c r="B66" s="129"/>
      <c r="C66" s="130"/>
      <c r="D66" s="130"/>
      <c r="E66" s="130"/>
      <c r="F66" s="130"/>
      <c r="G66" s="130"/>
      <c r="H66" s="130"/>
      <c r="I66" s="130"/>
      <c r="J66" s="131"/>
      <c r="K66" s="131"/>
      <c r="L66" s="131"/>
      <c r="M66" s="132"/>
    </row>
    <row r="67" spans="2:40" ht="16.5" customHeight="1" x14ac:dyDescent="0.2">
      <c r="B67" s="133"/>
      <c r="C67" s="298" t="s">
        <v>131</v>
      </c>
      <c r="D67" s="301" t="s">
        <v>140</v>
      </c>
      <c r="E67" s="301"/>
      <c r="F67" s="301"/>
      <c r="G67" s="301"/>
      <c r="H67" s="134"/>
      <c r="I67" s="282" t="s">
        <v>72</v>
      </c>
      <c r="J67" s="135"/>
      <c r="K67" s="235"/>
      <c r="L67" s="136"/>
      <c r="M67" s="34">
        <f>ROUND(((SUM(M42:M46))/251*36),0)</f>
        <v>0</v>
      </c>
      <c r="Z67" s="55">
        <v>82</v>
      </c>
      <c r="AA67" s="56">
        <v>104</v>
      </c>
      <c r="AB67" s="57" t="s">
        <v>141</v>
      </c>
      <c r="AH67" s="45"/>
      <c r="AI67" s="58"/>
      <c r="AJ67" s="40" t="s">
        <v>35</v>
      </c>
      <c r="AK67" s="45"/>
      <c r="AL67" s="45"/>
      <c r="AM67" s="45"/>
      <c r="AN67" s="45"/>
    </row>
    <row r="68" spans="2:40" ht="16.5" customHeight="1" x14ac:dyDescent="0.2">
      <c r="B68" s="137"/>
      <c r="C68" s="286"/>
      <c r="D68" s="281"/>
      <c r="E68" s="281"/>
      <c r="F68" s="281"/>
      <c r="G68" s="281"/>
      <c r="H68" s="121"/>
      <c r="I68" s="283"/>
      <c r="J68" s="30" t="str">
        <f>I49</f>
        <v>0</v>
      </c>
      <c r="K68" s="128"/>
      <c r="L68" s="138"/>
      <c r="M68" s="36">
        <f>ROUND(M67*J68,0)</f>
        <v>0</v>
      </c>
      <c r="Z68" s="57"/>
      <c r="AA68" s="57"/>
      <c r="AB68" s="57" t="s">
        <v>142</v>
      </c>
      <c r="AH68" s="45"/>
      <c r="AI68" s="58"/>
      <c r="AJ68" s="40" t="s">
        <v>36</v>
      </c>
      <c r="AK68" s="45"/>
      <c r="AL68" s="45"/>
      <c r="AM68" s="45"/>
      <c r="AN68" s="45"/>
    </row>
    <row r="69" spans="2:40" ht="16.5" customHeight="1" x14ac:dyDescent="0.2">
      <c r="B69" s="137"/>
      <c r="C69" s="291" t="s">
        <v>155</v>
      </c>
      <c r="D69" s="280" t="s">
        <v>143</v>
      </c>
      <c r="E69" s="280"/>
      <c r="F69" s="280"/>
      <c r="G69" s="280"/>
      <c r="H69" s="139"/>
      <c r="I69" s="284" t="s">
        <v>72</v>
      </c>
      <c r="J69" s="126"/>
      <c r="K69" s="126"/>
      <c r="L69" s="234"/>
      <c r="M69" s="35">
        <f>ROUND((M48*8.5%),0)</f>
        <v>0</v>
      </c>
      <c r="Z69" s="55">
        <v>78</v>
      </c>
      <c r="AA69" s="56">
        <v>98</v>
      </c>
      <c r="AB69" s="57" t="s">
        <v>144</v>
      </c>
      <c r="AH69" s="45"/>
      <c r="AI69" s="45"/>
      <c r="AJ69" s="45" t="s">
        <v>7</v>
      </c>
      <c r="AK69" s="45"/>
      <c r="AL69" s="45"/>
      <c r="AM69" s="45"/>
      <c r="AN69" s="45"/>
    </row>
    <row r="70" spans="2:40" ht="16.5" customHeight="1" x14ac:dyDescent="0.2">
      <c r="B70" s="137"/>
      <c r="C70" s="286"/>
      <c r="D70" s="281"/>
      <c r="E70" s="281"/>
      <c r="F70" s="281"/>
      <c r="G70" s="281"/>
      <c r="H70" s="121"/>
      <c r="I70" s="283"/>
      <c r="J70" s="30" t="str">
        <f>I49</f>
        <v>0</v>
      </c>
      <c r="K70" s="128"/>
      <c r="L70" s="138"/>
      <c r="M70" s="36">
        <f>ROUND(M69*J70,0)</f>
        <v>0</v>
      </c>
      <c r="Z70" s="55">
        <v>78</v>
      </c>
      <c r="AA70" s="56">
        <v>98</v>
      </c>
      <c r="AB70" s="57" t="s">
        <v>145</v>
      </c>
      <c r="AH70" s="45"/>
      <c r="AI70" s="45"/>
      <c r="AJ70" s="45"/>
      <c r="AK70" s="45"/>
      <c r="AL70" s="45"/>
      <c r="AM70" s="45"/>
      <c r="AN70" s="45"/>
    </row>
    <row r="71" spans="2:40" ht="16.5" customHeight="1" x14ac:dyDescent="0.2">
      <c r="B71" s="137"/>
      <c r="C71" s="291" t="s">
        <v>156</v>
      </c>
      <c r="D71" s="280" t="s">
        <v>146</v>
      </c>
      <c r="E71" s="280"/>
      <c r="F71" s="280"/>
      <c r="G71" s="280"/>
      <c r="H71" s="139"/>
      <c r="I71" s="284" t="s">
        <v>72</v>
      </c>
      <c r="J71" s="126"/>
      <c r="K71" s="126"/>
      <c r="L71" s="234"/>
      <c r="M71" s="35">
        <f>ROUND(((M48)*2%),0)</f>
        <v>0</v>
      </c>
      <c r="Z71" s="55">
        <v>54</v>
      </c>
      <c r="AA71" s="56">
        <v>77</v>
      </c>
      <c r="AB71" s="57" t="s">
        <v>147</v>
      </c>
    </row>
    <row r="72" spans="2:40" ht="16.5" customHeight="1" x14ac:dyDescent="0.2">
      <c r="B72" s="137"/>
      <c r="C72" s="286"/>
      <c r="D72" s="281"/>
      <c r="E72" s="281"/>
      <c r="F72" s="281"/>
      <c r="G72" s="281"/>
      <c r="H72" s="121"/>
      <c r="I72" s="283"/>
      <c r="J72" s="30" t="str">
        <f>I49</f>
        <v>0</v>
      </c>
      <c r="K72" s="128"/>
      <c r="L72" s="138"/>
      <c r="M72" s="36">
        <f>ROUND(M71*J72,0)</f>
        <v>0</v>
      </c>
      <c r="Z72" s="55">
        <v>54</v>
      </c>
      <c r="AA72" s="56">
        <v>64</v>
      </c>
      <c r="AB72" s="57" t="s">
        <v>148</v>
      </c>
    </row>
    <row r="73" spans="2:40" ht="16.5" customHeight="1" x14ac:dyDescent="0.2">
      <c r="B73" s="137"/>
      <c r="C73" s="291" t="s">
        <v>157</v>
      </c>
      <c r="D73" s="280" t="s">
        <v>37</v>
      </c>
      <c r="E73" s="280"/>
      <c r="F73" s="280"/>
      <c r="G73" s="280"/>
      <c r="H73" s="280"/>
      <c r="I73" s="280"/>
      <c r="J73" s="126"/>
      <c r="K73" s="126"/>
      <c r="L73" s="234"/>
      <c r="M73" s="292">
        <f>ROUND((M48+M67+M71)*(100%-13.71%)*6.5%,0)</f>
        <v>0</v>
      </c>
      <c r="Z73" s="59">
        <v>54</v>
      </c>
      <c r="AA73" s="60">
        <v>64</v>
      </c>
      <c r="AB73" s="57" t="s">
        <v>149</v>
      </c>
    </row>
    <row r="74" spans="2:40" ht="16.5" customHeight="1" x14ac:dyDescent="0.2">
      <c r="B74" s="137"/>
      <c r="C74" s="286"/>
      <c r="D74" s="281"/>
      <c r="E74" s="281"/>
      <c r="F74" s="281"/>
      <c r="G74" s="281"/>
      <c r="H74" s="281"/>
      <c r="I74" s="281"/>
      <c r="J74" s="128"/>
      <c r="K74" s="128"/>
      <c r="L74" s="138"/>
      <c r="M74" s="293">
        <f>G74*100/115.8882</f>
        <v>0</v>
      </c>
    </row>
    <row r="75" spans="2:40" ht="14.25" x14ac:dyDescent="0.2">
      <c r="B75" s="33"/>
      <c r="C75" s="285" t="s">
        <v>158</v>
      </c>
      <c r="D75" s="287" t="s">
        <v>185</v>
      </c>
      <c r="E75" s="287"/>
      <c r="F75" s="287"/>
      <c r="G75" s="287"/>
      <c r="H75" s="287"/>
      <c r="I75" s="287"/>
      <c r="J75" s="287"/>
      <c r="K75" s="215"/>
      <c r="L75" s="200"/>
      <c r="M75" s="288">
        <f>SUM(M77:M123)</f>
        <v>0</v>
      </c>
    </row>
    <row r="76" spans="2:40" ht="14.25" x14ac:dyDescent="0.2">
      <c r="B76" s="142"/>
      <c r="C76" s="286"/>
      <c r="D76" s="287"/>
      <c r="E76" s="287"/>
      <c r="F76" s="287"/>
      <c r="G76" s="287"/>
      <c r="H76" s="287"/>
      <c r="I76" s="287"/>
      <c r="J76" s="287"/>
      <c r="K76" s="215"/>
      <c r="L76" s="200"/>
      <c r="M76" s="289"/>
    </row>
    <row r="77" spans="2:40" ht="14.25" x14ac:dyDescent="0.2">
      <c r="B77" s="142"/>
      <c r="C77" s="228"/>
      <c r="D77" s="228"/>
      <c r="E77" s="228"/>
      <c r="F77" s="228"/>
      <c r="G77" s="228"/>
      <c r="H77" s="228"/>
      <c r="I77" s="228"/>
      <c r="J77" s="228" t="s">
        <v>278</v>
      </c>
      <c r="K77" s="228"/>
      <c r="L77" s="251"/>
      <c r="M77" s="155"/>
    </row>
    <row r="78" spans="2:40" ht="14.25" x14ac:dyDescent="0.2">
      <c r="B78" s="142"/>
      <c r="C78" s="228"/>
      <c r="D78" s="228"/>
      <c r="E78" s="228"/>
      <c r="F78" s="228"/>
      <c r="G78" s="228"/>
      <c r="H78" s="228"/>
      <c r="I78" s="228"/>
      <c r="J78" s="228"/>
      <c r="K78" s="228" t="s">
        <v>280</v>
      </c>
      <c r="L78" s="251" t="s">
        <v>281</v>
      </c>
      <c r="M78" s="278"/>
    </row>
    <row r="79" spans="2:40" ht="14.25" x14ac:dyDescent="0.2">
      <c r="B79" s="142"/>
      <c r="C79" s="228"/>
      <c r="D79" s="228"/>
      <c r="E79" s="228"/>
      <c r="F79" s="228"/>
      <c r="G79" s="228"/>
      <c r="H79" s="228"/>
      <c r="I79" s="228"/>
      <c r="J79" s="228"/>
      <c r="K79" s="228" t="s">
        <v>282</v>
      </c>
      <c r="L79" s="251" t="s">
        <v>281</v>
      </c>
      <c r="M79" s="279"/>
    </row>
    <row r="80" spans="2:40" ht="14.25" x14ac:dyDescent="0.2">
      <c r="B80" s="142"/>
      <c r="C80" s="228"/>
      <c r="D80" s="228"/>
      <c r="E80" s="228"/>
      <c r="F80" s="228"/>
      <c r="G80" s="228"/>
      <c r="H80" s="228"/>
      <c r="I80" s="228"/>
      <c r="J80" s="228"/>
      <c r="K80" s="228" t="s">
        <v>283</v>
      </c>
      <c r="L80" s="251"/>
      <c r="M80" s="279"/>
    </row>
    <row r="81" spans="2:13" ht="14.25" x14ac:dyDescent="0.2">
      <c r="B81" s="142"/>
      <c r="C81" s="228"/>
      <c r="D81" s="228"/>
      <c r="E81" s="228"/>
      <c r="F81" s="228"/>
      <c r="G81" s="228"/>
      <c r="H81" s="228"/>
      <c r="I81" s="228"/>
      <c r="J81" s="228"/>
      <c r="K81" s="228"/>
      <c r="L81" s="251"/>
      <c r="M81" s="155"/>
    </row>
    <row r="82" spans="2:13" ht="14.25" x14ac:dyDescent="0.2">
      <c r="B82" s="142"/>
      <c r="C82" s="228"/>
      <c r="D82" s="228"/>
      <c r="E82" s="228"/>
      <c r="F82" s="228"/>
      <c r="G82" s="228"/>
      <c r="H82" s="228"/>
      <c r="I82" s="228"/>
      <c r="J82" s="228"/>
      <c r="K82" s="228"/>
      <c r="L82" s="251"/>
      <c r="M82" s="155"/>
    </row>
    <row r="83" spans="2:13" ht="14.25" x14ac:dyDescent="0.2">
      <c r="B83" s="142"/>
      <c r="C83" s="228"/>
      <c r="D83" s="228"/>
      <c r="E83" s="228"/>
      <c r="F83" s="228"/>
      <c r="G83" s="228"/>
      <c r="H83" s="228"/>
      <c r="I83" s="228"/>
      <c r="J83" s="228"/>
      <c r="K83" s="228"/>
      <c r="L83" s="251"/>
      <c r="M83" s="155"/>
    </row>
    <row r="84" spans="2:13" ht="14.25" x14ac:dyDescent="0.2">
      <c r="B84" s="142"/>
      <c r="C84" s="228"/>
      <c r="D84" s="228"/>
      <c r="E84" s="228"/>
      <c r="F84" s="228"/>
      <c r="G84" s="228"/>
      <c r="H84" s="228"/>
      <c r="I84" s="228"/>
      <c r="J84" s="228"/>
      <c r="K84" s="228"/>
      <c r="L84" s="251"/>
      <c r="M84" s="155"/>
    </row>
    <row r="85" spans="2:13" ht="14.25" x14ac:dyDescent="0.2">
      <c r="B85" s="142"/>
      <c r="C85" s="228"/>
      <c r="D85" s="228"/>
      <c r="E85" s="228"/>
      <c r="F85" s="228"/>
      <c r="G85" s="228"/>
      <c r="H85" s="228"/>
      <c r="I85" s="228"/>
      <c r="J85" s="228"/>
      <c r="K85" s="228"/>
      <c r="L85" s="251"/>
      <c r="M85" s="155"/>
    </row>
    <row r="86" spans="2:13" ht="14.25" x14ac:dyDescent="0.2">
      <c r="B86" s="142"/>
      <c r="C86" s="228"/>
      <c r="D86" s="228"/>
      <c r="E86" s="228"/>
      <c r="F86" s="228"/>
      <c r="G86" s="228"/>
      <c r="H86" s="228"/>
      <c r="I86" s="228"/>
      <c r="J86" s="228"/>
      <c r="K86" s="228"/>
      <c r="L86" s="251"/>
      <c r="M86" s="155"/>
    </row>
    <row r="87" spans="2:13" ht="14.25" x14ac:dyDescent="0.2">
      <c r="B87" s="142"/>
      <c r="C87" s="228"/>
      <c r="D87" s="228"/>
      <c r="E87" s="228"/>
      <c r="F87" s="228"/>
      <c r="G87" s="228"/>
      <c r="H87" s="228"/>
      <c r="I87" s="228"/>
      <c r="J87" s="228"/>
      <c r="K87" s="228"/>
      <c r="L87" s="251"/>
      <c r="M87" s="155"/>
    </row>
    <row r="88" spans="2:13" ht="14.25" x14ac:dyDescent="0.2">
      <c r="B88" s="142"/>
      <c r="C88" s="228"/>
      <c r="D88" s="228"/>
      <c r="E88" s="228"/>
      <c r="F88" s="228"/>
      <c r="G88" s="228"/>
      <c r="H88" s="228"/>
      <c r="I88" s="228"/>
      <c r="J88" s="228"/>
      <c r="K88" s="228"/>
      <c r="L88" s="251"/>
      <c r="M88" s="155"/>
    </row>
    <row r="89" spans="2:13" ht="14.25" x14ac:dyDescent="0.2">
      <c r="B89" s="142"/>
      <c r="C89" s="228"/>
      <c r="D89" s="228"/>
      <c r="E89" s="228"/>
      <c r="F89" s="228"/>
      <c r="G89" s="228"/>
      <c r="H89" s="228"/>
      <c r="I89" s="228"/>
      <c r="J89" s="228"/>
      <c r="K89" s="228"/>
      <c r="L89" s="251"/>
      <c r="M89" s="155"/>
    </row>
    <row r="90" spans="2:13" ht="14.25" x14ac:dyDescent="0.2">
      <c r="B90" s="142"/>
      <c r="C90" s="228"/>
      <c r="D90" s="228"/>
      <c r="E90" s="228"/>
      <c r="F90" s="228"/>
      <c r="G90" s="228"/>
      <c r="H90" s="228"/>
      <c r="I90" s="228"/>
      <c r="J90" s="228"/>
      <c r="K90" s="228"/>
      <c r="L90" s="251"/>
      <c r="M90" s="155"/>
    </row>
    <row r="91" spans="2:13" ht="14.25" x14ac:dyDescent="0.2">
      <c r="B91" s="142"/>
      <c r="C91" s="228"/>
      <c r="D91" s="228"/>
      <c r="E91" s="228"/>
      <c r="F91" s="228"/>
      <c r="G91" s="228"/>
      <c r="H91" s="228"/>
      <c r="I91" s="228"/>
      <c r="J91" s="228"/>
      <c r="K91" s="228"/>
      <c r="L91" s="251"/>
      <c r="M91" s="155"/>
    </row>
    <row r="92" spans="2:13" ht="14.25" x14ac:dyDescent="0.2">
      <c r="B92" s="142"/>
      <c r="C92" s="228"/>
      <c r="D92" s="228"/>
      <c r="E92" s="228"/>
      <c r="F92" s="228"/>
      <c r="G92" s="228"/>
      <c r="H92" s="228"/>
      <c r="I92" s="228"/>
      <c r="J92" s="228"/>
      <c r="K92" s="228"/>
      <c r="L92" s="251"/>
      <c r="M92" s="155"/>
    </row>
    <row r="93" spans="2:13" ht="14.25" x14ac:dyDescent="0.2">
      <c r="B93" s="142"/>
      <c r="C93" s="228"/>
      <c r="D93" s="228"/>
      <c r="E93" s="228"/>
      <c r="F93" s="228"/>
      <c r="G93" s="228"/>
      <c r="H93" s="228"/>
      <c r="I93" s="228"/>
      <c r="J93" s="228"/>
      <c r="K93" s="228"/>
      <c r="L93" s="251"/>
      <c r="M93" s="155"/>
    </row>
    <row r="94" spans="2:13" ht="14.25" x14ac:dyDescent="0.2">
      <c r="B94" s="142"/>
      <c r="C94" s="228"/>
      <c r="D94" s="228"/>
      <c r="E94" s="228"/>
      <c r="F94" s="228"/>
      <c r="G94" s="228"/>
      <c r="H94" s="228"/>
      <c r="I94" s="228"/>
      <c r="J94" s="228"/>
      <c r="K94" s="228"/>
      <c r="L94" s="251"/>
      <c r="M94" s="155"/>
    </row>
    <row r="95" spans="2:13" ht="14.25" x14ac:dyDescent="0.2">
      <c r="B95" s="142"/>
      <c r="C95" s="228"/>
      <c r="D95" s="228"/>
      <c r="E95" s="228"/>
      <c r="F95" s="228"/>
      <c r="G95" s="228"/>
      <c r="H95" s="228"/>
      <c r="I95" s="228"/>
      <c r="J95" s="228"/>
      <c r="K95" s="228"/>
      <c r="L95" s="251"/>
      <c r="M95" s="155"/>
    </row>
    <row r="96" spans="2:13" ht="14.25" x14ac:dyDescent="0.2">
      <c r="B96" s="142"/>
      <c r="C96" s="228"/>
      <c r="D96" s="228"/>
      <c r="E96" s="228"/>
      <c r="F96" s="228"/>
      <c r="G96" s="228"/>
      <c r="H96" s="228"/>
      <c r="I96" s="228"/>
      <c r="J96" s="228"/>
      <c r="K96" s="228"/>
      <c r="L96" s="251"/>
      <c r="M96" s="155"/>
    </row>
    <row r="97" spans="2:13" ht="14.25" x14ac:dyDescent="0.2">
      <c r="B97" s="142"/>
      <c r="C97" s="228"/>
      <c r="D97" s="228"/>
      <c r="E97" s="228"/>
      <c r="F97" s="228"/>
      <c r="G97" s="228"/>
      <c r="H97" s="228"/>
      <c r="I97" s="228"/>
      <c r="J97" s="228"/>
      <c r="K97" s="228"/>
      <c r="L97" s="251"/>
      <c r="M97" s="155"/>
    </row>
    <row r="98" spans="2:13" ht="14.25" x14ac:dyDescent="0.2">
      <c r="B98" s="142"/>
      <c r="C98" s="228"/>
      <c r="D98" s="228"/>
      <c r="E98" s="228"/>
      <c r="F98" s="228"/>
      <c r="G98" s="228"/>
      <c r="H98" s="228"/>
      <c r="I98" s="228"/>
      <c r="J98" s="228"/>
      <c r="K98" s="228"/>
      <c r="L98" s="251"/>
      <c r="M98" s="155"/>
    </row>
    <row r="99" spans="2:13" ht="14.25" x14ac:dyDescent="0.2">
      <c r="B99" s="142"/>
      <c r="C99" s="228"/>
      <c r="D99" s="228"/>
      <c r="E99" s="228"/>
      <c r="F99" s="228"/>
      <c r="G99" s="228"/>
      <c r="H99" s="228"/>
      <c r="I99" s="228"/>
      <c r="J99" s="228"/>
      <c r="K99" s="228"/>
      <c r="L99" s="251"/>
      <c r="M99" s="155"/>
    </row>
    <row r="100" spans="2:13" ht="14.25" x14ac:dyDescent="0.2">
      <c r="B100" s="142"/>
      <c r="C100" s="228"/>
      <c r="D100" s="228"/>
      <c r="E100" s="228"/>
      <c r="F100" s="228"/>
      <c r="G100" s="228"/>
      <c r="H100" s="228"/>
      <c r="I100" s="228"/>
      <c r="J100" s="228"/>
      <c r="K100" s="228"/>
      <c r="L100" s="251"/>
      <c r="M100" s="155"/>
    </row>
    <row r="101" spans="2:13" ht="14.25" x14ac:dyDescent="0.2">
      <c r="B101" s="142"/>
      <c r="C101" s="228"/>
      <c r="D101" s="228"/>
      <c r="E101" s="228"/>
      <c r="F101" s="228"/>
      <c r="G101" s="228"/>
      <c r="H101" s="228"/>
      <c r="I101" s="228"/>
      <c r="J101" s="228"/>
      <c r="K101" s="228"/>
      <c r="L101" s="251"/>
      <c r="M101" s="155"/>
    </row>
    <row r="102" spans="2:13" ht="14.25" x14ac:dyDescent="0.2">
      <c r="B102" s="142"/>
      <c r="C102" s="228"/>
      <c r="D102" s="228"/>
      <c r="E102" s="228"/>
      <c r="F102" s="228"/>
      <c r="G102" s="228"/>
      <c r="H102" s="228"/>
      <c r="I102" s="228"/>
      <c r="J102" s="228"/>
      <c r="K102" s="228"/>
      <c r="L102" s="251"/>
      <c r="M102" s="155"/>
    </row>
    <row r="103" spans="2:13" ht="14.25" x14ac:dyDescent="0.2">
      <c r="B103" s="142"/>
      <c r="C103" s="228"/>
      <c r="D103" s="228"/>
      <c r="E103" s="228"/>
      <c r="F103" s="228"/>
      <c r="G103" s="228"/>
      <c r="H103" s="228"/>
      <c r="I103" s="228"/>
      <c r="J103" s="228"/>
      <c r="K103" s="228"/>
      <c r="L103" s="251"/>
      <c r="M103" s="155"/>
    </row>
    <row r="104" spans="2:13" ht="14.25" x14ac:dyDescent="0.2">
      <c r="B104" s="142"/>
      <c r="C104" s="228"/>
      <c r="D104" s="228"/>
      <c r="E104" s="228"/>
      <c r="F104" s="228"/>
      <c r="G104" s="228"/>
      <c r="H104" s="228"/>
      <c r="I104" s="228"/>
      <c r="J104" s="228"/>
      <c r="K104" s="228"/>
      <c r="L104" s="251"/>
      <c r="M104" s="155"/>
    </row>
    <row r="105" spans="2:13" ht="14.25" x14ac:dyDescent="0.2">
      <c r="B105" s="142"/>
      <c r="C105" s="228"/>
      <c r="D105" s="228"/>
      <c r="E105" s="228"/>
      <c r="F105" s="228"/>
      <c r="G105" s="228"/>
      <c r="H105" s="228"/>
      <c r="I105" s="228"/>
      <c r="J105" s="228"/>
      <c r="K105" s="228"/>
      <c r="L105" s="251"/>
      <c r="M105" s="155"/>
    </row>
    <row r="106" spans="2:13" ht="14.25" x14ac:dyDescent="0.2">
      <c r="B106" s="142"/>
      <c r="C106" s="228"/>
      <c r="D106" s="228"/>
      <c r="E106" s="228"/>
      <c r="F106" s="228"/>
      <c r="G106" s="228"/>
      <c r="H106" s="228"/>
      <c r="I106" s="228"/>
      <c r="J106" s="228"/>
      <c r="K106" s="228"/>
      <c r="L106" s="251"/>
      <c r="M106" s="155"/>
    </row>
    <row r="107" spans="2:13" ht="14.25" x14ac:dyDescent="0.2">
      <c r="B107" s="142"/>
      <c r="C107" s="228"/>
      <c r="D107" s="228"/>
      <c r="E107" s="228"/>
      <c r="F107" s="228"/>
      <c r="G107" s="228"/>
      <c r="H107" s="228"/>
      <c r="I107" s="228"/>
      <c r="J107" s="228"/>
      <c r="K107" s="228"/>
      <c r="L107" s="251"/>
      <c r="M107" s="155"/>
    </row>
    <row r="108" spans="2:13" ht="14.25" x14ac:dyDescent="0.2">
      <c r="B108" s="142"/>
      <c r="C108" s="228"/>
      <c r="D108" s="228"/>
      <c r="E108" s="228"/>
      <c r="F108" s="228"/>
      <c r="G108" s="228"/>
      <c r="H108" s="228"/>
      <c r="I108" s="228"/>
      <c r="J108" s="228"/>
      <c r="K108" s="228"/>
      <c r="L108" s="251"/>
      <c r="M108" s="155"/>
    </row>
    <row r="109" spans="2:13" ht="14.25" x14ac:dyDescent="0.2">
      <c r="B109" s="142"/>
      <c r="C109" s="228"/>
      <c r="D109" s="228"/>
      <c r="E109" s="228"/>
      <c r="F109" s="228"/>
      <c r="G109" s="228"/>
      <c r="H109" s="228"/>
      <c r="I109" s="228"/>
      <c r="J109" s="228"/>
      <c r="K109" s="228"/>
      <c r="L109" s="251"/>
      <c r="M109" s="155"/>
    </row>
    <row r="110" spans="2:13" ht="14.25" x14ac:dyDescent="0.2">
      <c r="B110" s="142"/>
      <c r="C110" s="228"/>
      <c r="D110" s="228"/>
      <c r="E110" s="228"/>
      <c r="F110" s="228"/>
      <c r="G110" s="228"/>
      <c r="H110" s="228"/>
      <c r="I110" s="228"/>
      <c r="J110" s="228"/>
      <c r="K110" s="228"/>
      <c r="L110" s="251"/>
      <c r="M110" s="155"/>
    </row>
    <row r="111" spans="2:13" ht="14.25" x14ac:dyDescent="0.2">
      <c r="B111" s="142"/>
      <c r="C111" s="228"/>
      <c r="D111" s="228"/>
      <c r="E111" s="228"/>
      <c r="F111" s="228"/>
      <c r="G111" s="228"/>
      <c r="H111" s="228"/>
      <c r="I111" s="228"/>
      <c r="J111" s="228"/>
      <c r="K111" s="228"/>
      <c r="L111" s="251"/>
      <c r="M111" s="155"/>
    </row>
    <row r="112" spans="2:13" ht="14.25" x14ac:dyDescent="0.2">
      <c r="B112" s="142"/>
      <c r="C112" s="228"/>
      <c r="D112" s="228"/>
      <c r="E112" s="228"/>
      <c r="F112" s="228"/>
      <c r="G112" s="228"/>
      <c r="H112" s="228"/>
      <c r="I112" s="228"/>
      <c r="J112" s="228"/>
      <c r="K112" s="228"/>
      <c r="L112" s="251"/>
      <c r="M112" s="155"/>
    </row>
    <row r="113" spans="2:13" ht="14.25" x14ac:dyDescent="0.2">
      <c r="B113" s="142"/>
      <c r="C113" s="228"/>
      <c r="D113" s="228"/>
      <c r="E113" s="228"/>
      <c r="F113" s="228"/>
      <c r="G113" s="228"/>
      <c r="H113" s="228"/>
      <c r="I113" s="228"/>
      <c r="J113" s="228"/>
      <c r="K113" s="228"/>
      <c r="L113" s="251"/>
      <c r="M113" s="155"/>
    </row>
    <row r="114" spans="2:13" ht="14.25" x14ac:dyDescent="0.2">
      <c r="B114" s="142"/>
      <c r="C114" s="228"/>
      <c r="D114" s="228"/>
      <c r="E114" s="228"/>
      <c r="F114" s="228"/>
      <c r="G114" s="228"/>
      <c r="H114" s="228"/>
      <c r="I114" s="228"/>
      <c r="J114" s="228"/>
      <c r="K114" s="228"/>
      <c r="L114" s="251"/>
      <c r="M114" s="155"/>
    </row>
    <row r="115" spans="2:13" ht="14.25" x14ac:dyDescent="0.2">
      <c r="B115" s="142"/>
      <c r="C115" s="228"/>
      <c r="D115" s="228"/>
      <c r="E115" s="228"/>
      <c r="F115" s="228"/>
      <c r="G115" s="228"/>
      <c r="H115" s="228"/>
      <c r="I115" s="228"/>
      <c r="J115" s="228"/>
      <c r="K115" s="228"/>
      <c r="L115" s="251"/>
      <c r="M115" s="155"/>
    </row>
    <row r="116" spans="2:13" ht="14.25" x14ac:dyDescent="0.2">
      <c r="B116" s="142"/>
      <c r="C116" s="228"/>
      <c r="D116" s="228"/>
      <c r="E116" s="228"/>
      <c r="F116" s="228"/>
      <c r="G116" s="228"/>
      <c r="H116" s="228"/>
      <c r="I116" s="228"/>
      <c r="J116" s="228"/>
      <c r="K116" s="228"/>
      <c r="L116" s="251"/>
      <c r="M116" s="155"/>
    </row>
    <row r="117" spans="2:13" ht="14.25" x14ac:dyDescent="0.2">
      <c r="B117" s="142"/>
      <c r="C117" s="228"/>
      <c r="D117" s="228"/>
      <c r="E117" s="228"/>
      <c r="F117" s="228"/>
      <c r="G117" s="228"/>
      <c r="H117" s="228"/>
      <c r="I117" s="228"/>
      <c r="J117" s="228"/>
      <c r="K117" s="228"/>
      <c r="L117" s="251"/>
      <c r="M117" s="155"/>
    </row>
    <row r="118" spans="2:13" ht="14.25" x14ac:dyDescent="0.2">
      <c r="B118" s="142"/>
      <c r="C118" s="228"/>
      <c r="D118" s="228"/>
      <c r="E118" s="228"/>
      <c r="F118" s="228"/>
      <c r="G118" s="228"/>
      <c r="H118" s="228"/>
      <c r="I118" s="228"/>
      <c r="J118" s="228"/>
      <c r="K118" s="228"/>
      <c r="L118" s="251"/>
      <c r="M118" s="155"/>
    </row>
    <row r="119" spans="2:13" ht="14.25" x14ac:dyDescent="0.2">
      <c r="B119" s="142"/>
      <c r="C119" s="228"/>
      <c r="D119" s="228"/>
      <c r="E119" s="228"/>
      <c r="F119" s="228"/>
      <c r="G119" s="228"/>
      <c r="H119" s="228"/>
      <c r="I119" s="228"/>
      <c r="J119" s="228"/>
      <c r="K119" s="228"/>
      <c r="L119" s="251"/>
      <c r="M119" s="155"/>
    </row>
    <row r="120" spans="2:13" ht="14.25" x14ac:dyDescent="0.2">
      <c r="B120" s="142"/>
      <c r="C120" s="228"/>
      <c r="D120" s="228"/>
      <c r="E120" s="228"/>
      <c r="F120" s="228"/>
      <c r="G120" s="228"/>
      <c r="H120" s="228"/>
      <c r="I120" s="228"/>
      <c r="J120" s="228"/>
      <c r="K120" s="228"/>
      <c r="L120" s="251"/>
      <c r="M120" s="155"/>
    </row>
    <row r="121" spans="2:13" ht="14.25" x14ac:dyDescent="0.2">
      <c r="B121" s="142"/>
      <c r="C121" s="228"/>
      <c r="D121" s="228"/>
      <c r="E121" s="228"/>
      <c r="F121" s="228"/>
      <c r="G121" s="228"/>
      <c r="H121" s="228"/>
      <c r="I121" s="228"/>
      <c r="J121" s="228"/>
      <c r="K121" s="228"/>
      <c r="L121" s="251"/>
      <c r="M121" s="155"/>
    </row>
    <row r="122" spans="2:13" ht="14.25" x14ac:dyDescent="0.2">
      <c r="B122" s="142"/>
      <c r="C122" s="228"/>
      <c r="D122" s="228"/>
      <c r="E122" s="228"/>
      <c r="F122" s="228"/>
      <c r="G122" s="228"/>
      <c r="H122" s="228"/>
      <c r="I122" s="228"/>
      <c r="J122" s="228"/>
      <c r="K122" s="228"/>
      <c r="L122" s="251"/>
      <c r="M122" s="155"/>
    </row>
    <row r="123" spans="2:13" ht="14.25" x14ac:dyDescent="0.2">
      <c r="B123" s="142"/>
      <c r="C123" s="228"/>
      <c r="D123" s="228"/>
      <c r="E123" s="228"/>
      <c r="F123" s="228"/>
      <c r="G123" s="228"/>
      <c r="H123" s="228"/>
      <c r="I123" s="228"/>
      <c r="J123" s="228"/>
      <c r="K123" s="228"/>
      <c r="L123" s="251"/>
      <c r="M123" s="155"/>
    </row>
    <row r="124" spans="2:13" ht="14.25" x14ac:dyDescent="0.2">
      <c r="B124" s="143"/>
      <c r="C124" s="302"/>
      <c r="D124" s="302"/>
      <c r="E124" s="302"/>
      <c r="F124" s="302"/>
      <c r="G124" s="302"/>
      <c r="H124" s="302"/>
      <c r="I124" s="302"/>
      <c r="J124" s="302"/>
      <c r="K124" s="259"/>
      <c r="L124" s="202"/>
      <c r="M124" s="260"/>
    </row>
    <row r="125" spans="2:13" ht="14.25" x14ac:dyDescent="0.2">
      <c r="B125" s="142"/>
      <c r="C125" s="271"/>
      <c r="D125" s="271"/>
      <c r="E125" s="271"/>
      <c r="F125" s="271"/>
      <c r="G125" s="271"/>
      <c r="H125" s="271"/>
      <c r="I125" s="271"/>
      <c r="J125" s="271"/>
      <c r="K125" s="272"/>
      <c r="L125" s="273"/>
      <c r="M125" s="274"/>
    </row>
    <row r="126" spans="2:13" ht="15" x14ac:dyDescent="0.2">
      <c r="B126" s="142"/>
      <c r="C126" s="285" t="s">
        <v>159</v>
      </c>
      <c r="D126" s="287" t="s">
        <v>150</v>
      </c>
      <c r="E126" s="287"/>
      <c r="F126" s="121" t="s">
        <v>151</v>
      </c>
      <c r="G126" s="121"/>
      <c r="H126" s="121"/>
      <c r="I126" s="121"/>
      <c r="J126" s="236">
        <f>IFERROR(VLOOKUP(E10,wydz1,2,FALSE),0)</f>
        <v>0</v>
      </c>
      <c r="K126" s="236"/>
      <c r="L126" s="140"/>
      <c r="M126" s="36">
        <f>ROUND(J126*(M48+M49+M59+M60+M67+M68+M69+M70+M71+M72+M73+M75),0)</f>
        <v>0</v>
      </c>
    </row>
    <row r="127" spans="2:13" ht="15" x14ac:dyDescent="0.2">
      <c r="B127" s="142"/>
      <c r="C127" s="286"/>
      <c r="D127" s="281"/>
      <c r="E127" s="281"/>
      <c r="F127" s="121" t="s">
        <v>188</v>
      </c>
      <c r="G127" s="121"/>
      <c r="H127" s="121"/>
      <c r="I127" s="121"/>
      <c r="J127" s="236">
        <f>IF(J126=0,0,40%)</f>
        <v>0</v>
      </c>
      <c r="K127" s="236"/>
      <c r="L127" s="140"/>
      <c r="M127" s="141">
        <f>ROUND(J127*(M48+M49+M59+M60+M67+M68+M69+M70+M71+M72+M73+M75+M126),0)</f>
        <v>0</v>
      </c>
    </row>
    <row r="128" spans="2:13" ht="18" customHeight="1" x14ac:dyDescent="0.2">
      <c r="B128" s="82"/>
      <c r="C128" s="79"/>
      <c r="D128" s="79"/>
      <c r="E128" s="79"/>
      <c r="F128" s="79"/>
      <c r="G128" s="79"/>
      <c r="H128" s="79"/>
      <c r="I128" s="79"/>
      <c r="J128" s="144"/>
      <c r="K128" s="144"/>
      <c r="L128" s="144"/>
      <c r="M128" s="145"/>
    </row>
    <row r="129" spans="2:13" ht="15.75" x14ac:dyDescent="0.25">
      <c r="B129" s="100"/>
      <c r="C129" s="79"/>
      <c r="D129" s="79"/>
      <c r="E129" s="79"/>
      <c r="F129" s="79"/>
      <c r="G129" s="79"/>
      <c r="H129" s="79"/>
      <c r="I129" s="79"/>
      <c r="J129" s="76" t="s">
        <v>47</v>
      </c>
      <c r="K129" s="76"/>
      <c r="L129" s="76"/>
      <c r="M129" s="146">
        <f>M48+M49+M59+M60+M63+M64+M65+M67+M68+M69+M70+M71+M72+M73+M75+M126+M127</f>
        <v>0</v>
      </c>
    </row>
    <row r="130" spans="2:13" ht="15" thickBot="1" x14ac:dyDescent="0.25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270"/>
    </row>
    <row r="131" spans="2:13" s="41" customFormat="1" ht="21.95" hidden="1" customHeight="1" thickTop="1" thickBot="1" x14ac:dyDescent="0.25">
      <c r="B131" s="225" t="str">
        <f>IF(E5="KOSZTORYS STUDIÓW NIESTACJONARNYCH",Arkusz2!B24,Arkusz2!B23)</f>
        <v>III. SALDO KOŃCOWE STUDIÓW / KURSU  (obowiązkowe minimalne saldo końcowe przy uruchomieniu, minimum 15% przychodów) :</v>
      </c>
      <c r="C131" s="224"/>
      <c r="D131" s="224"/>
      <c r="E131" s="224"/>
      <c r="F131" s="224"/>
      <c r="G131" s="224"/>
      <c r="H131" s="224"/>
      <c r="I131" s="224"/>
      <c r="J131" s="224"/>
      <c r="K131" s="88"/>
      <c r="L131" s="88"/>
      <c r="M131" s="147">
        <f>M23-M129</f>
        <v>0</v>
      </c>
    </row>
    <row r="132" spans="2:13" ht="15" thickTop="1" x14ac:dyDescent="0.2">
      <c r="B132" s="82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80"/>
    </row>
    <row r="133" spans="2:13" ht="14.25" x14ac:dyDescent="0.2">
      <c r="B133" s="82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148"/>
    </row>
    <row r="134" spans="2:13" ht="14.25" x14ac:dyDescent="0.2">
      <c r="B134" s="310"/>
      <c r="C134" s="311"/>
      <c r="D134" s="311"/>
      <c r="E134" s="311"/>
      <c r="F134" s="79"/>
      <c r="G134" s="79"/>
      <c r="H134" s="79"/>
      <c r="I134" s="79"/>
      <c r="J134" s="79"/>
      <c r="K134" s="79"/>
      <c r="L134" s="79"/>
      <c r="M134" s="80"/>
    </row>
    <row r="135" spans="2:13" ht="14.25" x14ac:dyDescent="0.2">
      <c r="B135" s="310"/>
      <c r="C135" s="311"/>
      <c r="D135" s="311"/>
      <c r="E135" s="311"/>
      <c r="F135" s="79"/>
      <c r="G135" s="79"/>
      <c r="H135" s="79"/>
      <c r="I135" s="79"/>
      <c r="J135" s="79"/>
      <c r="K135" s="79"/>
      <c r="L135" s="79"/>
      <c r="M135" s="80"/>
    </row>
    <row r="136" spans="2:13" ht="14.25" x14ac:dyDescent="0.2">
      <c r="B136" s="310"/>
      <c r="C136" s="311"/>
      <c r="D136" s="311"/>
      <c r="E136" s="311"/>
      <c r="F136" s="79"/>
      <c r="G136" s="79"/>
      <c r="H136" s="79"/>
      <c r="I136" s="79"/>
      <c r="J136" s="79"/>
      <c r="K136" s="79"/>
      <c r="L136" s="79"/>
      <c r="M136" s="80"/>
    </row>
    <row r="137" spans="2:13" ht="14.25" x14ac:dyDescent="0.2">
      <c r="B137" s="312"/>
      <c r="C137" s="313"/>
      <c r="D137" s="313"/>
      <c r="E137" s="313"/>
      <c r="F137" s="79"/>
      <c r="G137" s="79"/>
      <c r="H137" s="79"/>
      <c r="I137" s="79"/>
      <c r="J137" s="128"/>
      <c r="K137" s="128"/>
      <c r="L137" s="128"/>
      <c r="M137" s="138"/>
    </row>
    <row r="138" spans="2:13" ht="14.25" x14ac:dyDescent="0.2">
      <c r="B138" s="307" t="s">
        <v>152</v>
      </c>
      <c r="C138" s="308"/>
      <c r="D138" s="308"/>
      <c r="E138" s="308"/>
      <c r="F138" s="151"/>
      <c r="G138" s="151"/>
      <c r="H138" s="151"/>
      <c r="I138" s="151"/>
      <c r="J138" s="304" t="s">
        <v>48</v>
      </c>
      <c r="K138" s="304"/>
      <c r="L138" s="304"/>
      <c r="M138" s="309"/>
    </row>
    <row r="139" spans="2:13" ht="14.25" x14ac:dyDescent="0.2">
      <c r="B139" s="307" t="s">
        <v>269</v>
      </c>
      <c r="C139" s="308"/>
      <c r="D139" s="308"/>
      <c r="E139" s="308"/>
      <c r="F139" s="79"/>
      <c r="G139" s="79"/>
      <c r="H139" s="79"/>
      <c r="I139" s="79"/>
      <c r="J139" s="79"/>
      <c r="K139" s="79"/>
      <c r="L139" s="79"/>
      <c r="M139" s="80"/>
    </row>
    <row r="140" spans="2:13" ht="14.25" x14ac:dyDescent="0.2">
      <c r="B140" s="82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80"/>
    </row>
    <row r="141" spans="2:13" ht="14.25" x14ac:dyDescent="0.2">
      <c r="B141" s="82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80"/>
    </row>
    <row r="142" spans="2:13" ht="14.25" x14ac:dyDescent="0.2">
      <c r="B142" s="82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80"/>
    </row>
    <row r="143" spans="2:13" ht="14.25" x14ac:dyDescent="0.2">
      <c r="B143" s="150"/>
      <c r="C143" s="128"/>
      <c r="D143" s="128"/>
      <c r="E143" s="128"/>
      <c r="F143" s="79"/>
      <c r="G143" s="79"/>
      <c r="H143" s="79"/>
      <c r="I143" s="79"/>
      <c r="J143" s="128"/>
      <c r="K143" s="128"/>
      <c r="L143" s="128"/>
      <c r="M143" s="138"/>
    </row>
    <row r="144" spans="2:13" ht="14.25" x14ac:dyDescent="0.2">
      <c r="B144" s="303" t="s">
        <v>49</v>
      </c>
      <c r="C144" s="304"/>
      <c r="D144" s="304"/>
      <c r="E144" s="304"/>
      <c r="F144" s="151"/>
      <c r="G144" s="151"/>
      <c r="H144" s="151"/>
      <c r="I144" s="151"/>
      <c r="J144" s="305" t="s">
        <v>240</v>
      </c>
      <c r="K144" s="305"/>
      <c r="L144" s="305"/>
      <c r="M144" s="306"/>
    </row>
    <row r="145" spans="2:13" ht="15" thickBot="1" x14ac:dyDescent="0.25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3"/>
    </row>
    <row r="146" spans="2:13" ht="240.75" customHeight="1" thickTop="1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</row>
    <row r="147" spans="2:13" ht="14.25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</row>
    <row r="148" spans="2:13" ht="14.25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</row>
    <row r="149" spans="2:13" ht="14.25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</row>
    <row r="150" spans="2:13" ht="14.25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  <row r="151" spans="2:13" ht="14.25" x14ac:dyDescent="0.2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</row>
    <row r="152" spans="2:13" ht="14.25" x14ac:dyDescent="0.2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</row>
    <row r="153" spans="2:13" ht="14.25" x14ac:dyDescent="0.2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</row>
    <row r="154" spans="2:13" ht="14.25" x14ac:dyDescent="0.2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</row>
    <row r="155" spans="2:13" ht="14.25" x14ac:dyDescent="0.2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</row>
    <row r="156" spans="2:13" ht="14.25" x14ac:dyDescent="0.2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</row>
    <row r="157" spans="2:13" ht="14.25" x14ac:dyDescent="0.2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</row>
    <row r="158" spans="2:13" ht="14.25" x14ac:dyDescent="0.2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</row>
    <row r="159" spans="2:13" ht="14.25" x14ac:dyDescent="0.2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</row>
    <row r="160" spans="2:13" ht="14.25" x14ac:dyDescent="0.2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</row>
    <row r="161" spans="2:13" ht="14.25" x14ac:dyDescent="0.2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</row>
    <row r="162" spans="2:13" ht="14.25" x14ac:dyDescent="0.2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</row>
    <row r="163" spans="2:13" ht="14.25" x14ac:dyDescent="0.2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</row>
    <row r="164" spans="2:13" ht="14.25" x14ac:dyDescent="0.2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</row>
    <row r="165" spans="2:13" ht="14.25" x14ac:dyDescent="0.2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</row>
    <row r="166" spans="2:13" ht="14.25" x14ac:dyDescent="0.2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</row>
    <row r="167" spans="2:13" ht="14.25" x14ac:dyDescent="0.2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</row>
    <row r="168" spans="2:13" ht="14.25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</row>
    <row r="169" spans="2:13" ht="14.25" x14ac:dyDescent="0.2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</row>
    <row r="170" spans="2:13" ht="14.25" x14ac:dyDescent="0.2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</row>
    <row r="171" spans="2:13" ht="14.25" x14ac:dyDescent="0.2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</row>
    <row r="172" spans="2:13" ht="14.25" x14ac:dyDescent="0.2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</row>
    <row r="173" spans="2:13" ht="14.25" x14ac:dyDescent="0.2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</row>
    <row r="174" spans="2:13" ht="14.25" x14ac:dyDescent="0.2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</row>
    <row r="175" spans="2:13" ht="14.25" x14ac:dyDescent="0.2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</row>
    <row r="176" spans="2:13" ht="14.25" x14ac:dyDescent="0.2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</row>
    <row r="177" spans="2:13" ht="14.25" x14ac:dyDescent="0.2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</row>
    <row r="178" spans="2:13" ht="14.2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</row>
    <row r="179" spans="2:13" ht="14.25" x14ac:dyDescent="0.2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</row>
    <row r="180" spans="2:13" ht="14.25" x14ac:dyDescent="0.2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</row>
    <row r="181" spans="2:13" ht="14.25" x14ac:dyDescent="0.2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</row>
    <row r="182" spans="2:13" ht="14.25" x14ac:dyDescent="0.2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</row>
  </sheetData>
  <sheetProtection algorithmName="SHA-512" hashValue="eYcxuabslani/rfN6JhpngBw2a8xBpoSfjNaCr5V8R1XFee5baDRyG7ac20QVqTMg8dd2+qbxvtnl4l7gjtHvQ==" saltValue="KBpxEJmzL1gyvhnOmRrzjQ==" spinCount="100000" sheet="1" selectLockedCells="1"/>
  <mergeCells count="49">
    <mergeCell ref="J49:L49"/>
    <mergeCell ref="C32:D32"/>
    <mergeCell ref="C41:D41"/>
    <mergeCell ref="B16:E16"/>
    <mergeCell ref="G16:I16"/>
    <mergeCell ref="J17:M17"/>
    <mergeCell ref="J18:M18"/>
    <mergeCell ref="M23:M24"/>
    <mergeCell ref="B17:E17"/>
    <mergeCell ref="F32:H32"/>
    <mergeCell ref="E5:I5"/>
    <mergeCell ref="B13:E13"/>
    <mergeCell ref="G13:I13"/>
    <mergeCell ref="B14:D14"/>
    <mergeCell ref="G14:H14"/>
    <mergeCell ref="E10:L10"/>
    <mergeCell ref="E11:L11"/>
    <mergeCell ref="E12:L12"/>
    <mergeCell ref="K7:L7"/>
    <mergeCell ref="C126:C127"/>
    <mergeCell ref="D126:E127"/>
    <mergeCell ref="C124:J124"/>
    <mergeCell ref="B144:E144"/>
    <mergeCell ref="J144:M144"/>
    <mergeCell ref="B138:E138"/>
    <mergeCell ref="J138:M138"/>
    <mergeCell ref="B139:E139"/>
    <mergeCell ref="B134:E137"/>
    <mergeCell ref="C75:C76"/>
    <mergeCell ref="D75:J76"/>
    <mergeCell ref="M75:M76"/>
    <mergeCell ref="F53:G53"/>
    <mergeCell ref="H53:I53"/>
    <mergeCell ref="C73:C74"/>
    <mergeCell ref="D73:I74"/>
    <mergeCell ref="M73:M74"/>
    <mergeCell ref="C69:C70"/>
    <mergeCell ref="C71:C72"/>
    <mergeCell ref="C60:D60"/>
    <mergeCell ref="F60:J60"/>
    <mergeCell ref="C67:C68"/>
    <mergeCell ref="D65:E65"/>
    <mergeCell ref="D63:E63"/>
    <mergeCell ref="D67:G68"/>
    <mergeCell ref="D69:G70"/>
    <mergeCell ref="D71:G72"/>
    <mergeCell ref="I67:I68"/>
    <mergeCell ref="I69:I70"/>
    <mergeCell ref="I71:I72"/>
  </mergeCells>
  <dataValidations count="8">
    <dataValidation operator="lessThanOrEqual" allowBlank="1" error="Stawka zbyt wysoka" sqref="J35:K35" xr:uid="{00000000-0002-0000-0000-000000000000}"/>
    <dataValidation allowBlank="1" showInputMessage="1" sqref="J36:K36" xr:uid="{00000000-0002-0000-0000-000001000000}"/>
    <dataValidation type="list" allowBlank="1" showInputMessage="1" sqref="I14 E14" xr:uid="{00000000-0002-0000-0000-000002000000}">
      <formula1>mc</formula1>
    </dataValidation>
    <dataValidation type="list" allowBlank="1" showInputMessage="1" showErrorMessage="1" sqref="E11" xr:uid="{00000000-0002-0000-0000-000004000000}">
      <formula1>ins</formula1>
    </dataValidation>
    <dataValidation type="list" allowBlank="1" showInputMessage="1" showErrorMessage="1" sqref="E10" xr:uid="{00000000-0002-0000-0000-000005000000}">
      <formula1>wydz</formula1>
    </dataValidation>
    <dataValidation type="list" allowBlank="1" showInputMessage="1" showErrorMessage="1" sqref="F14 J14 H7" xr:uid="{00000000-0002-0000-0000-000006000000}">
      <formula1>rok</formula1>
    </dataValidation>
    <dataValidation type="list" allowBlank="1" showInputMessage="1" showErrorMessage="1" sqref="K7" xr:uid="{00000000-0002-0000-0000-000007000000}">
      <formula1>anek</formula1>
    </dataValidation>
    <dataValidation type="whole" operator="greaterThanOrEqual" allowBlank="1" showInputMessage="1" showErrorMessage="1" sqref="M77:M125" xr:uid="{00000000-0002-0000-0000-000008000000}">
      <formula1>0</formula1>
    </dataValidation>
  </dataValidations>
  <printOptions horizontalCentered="1"/>
  <pageMargins left="0.25" right="0.25" top="0.75" bottom="0.75" header="0.3" footer="0.3"/>
  <pageSetup paperSize="9" scale="58" fitToHeight="0" orientation="portrait" r:id="rId1"/>
  <headerFooter alignWithMargins="0"/>
  <rowBreaks count="1" manualBreakCount="1">
    <brk id="61" min="1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A83134BC-F60C-42AC-A7DE-BDA5ABECFC29}">
            <xm:f>$D$62=Arkusz2!$B$19</xm:f>
            <x14:dxf>
              <fill>
                <patternFill patternType="darkTrellis"/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15" id="{16569615-C125-4DE4-9C62-0271D7857DFF}">
            <xm:f>$D$62=Arkusz2!$B$19</xm:f>
            <x14:dxf>
              <fill>
                <patternFill patternType="darkTrellis"/>
              </fill>
            </x14:dxf>
          </x14:cfRule>
          <xm:sqref>D63:E63</xm:sqref>
        </x14:conditionalFormatting>
        <x14:conditionalFormatting xmlns:xm="http://schemas.microsoft.com/office/excel/2006/main">
          <x14:cfRule type="expression" priority="13" id="{DE9038F0-46FA-4AEE-AF16-C5D2BCDF12CD}">
            <xm:f>$D$62=Arkusz2!$B$19</xm:f>
            <x14:dxf>
              <fill>
                <patternFill patternType="darkTrellis"/>
              </fill>
            </x14:dxf>
          </x14:cfRule>
          <xm:sqref>F64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N145"/>
  <sheetViews>
    <sheetView showGridLines="0" topLeftCell="A34" zoomScaleNormal="100" zoomScaleSheetLayoutView="100" workbookViewId="0">
      <selection activeCell="M75" sqref="M75:M76"/>
    </sheetView>
  </sheetViews>
  <sheetFormatPr defaultRowHeight="12.75" x14ac:dyDescent="0.2"/>
  <cols>
    <col min="1" max="1" width="9.140625" style="40"/>
    <col min="2" max="2" width="6.42578125" style="40" customWidth="1"/>
    <col min="3" max="3" width="9.140625" style="40"/>
    <col min="4" max="4" width="11.140625" style="40" bestFit="1" customWidth="1"/>
    <col min="5" max="5" width="16" style="40" customWidth="1"/>
    <col min="6" max="6" width="14.5703125" style="40" customWidth="1"/>
    <col min="7" max="7" width="16" style="40" customWidth="1"/>
    <col min="8" max="8" width="14" style="40" customWidth="1"/>
    <col min="9" max="9" width="16.7109375" style="40" customWidth="1"/>
    <col min="10" max="10" width="14.85546875" style="40" customWidth="1"/>
    <col min="11" max="11" width="14.85546875" style="40" hidden="1" customWidth="1"/>
    <col min="12" max="13" width="17.140625" style="40" customWidth="1"/>
    <col min="14" max="14" width="9.140625" style="40"/>
    <col min="15" max="15" width="10.140625" style="40" bestFit="1" customWidth="1"/>
    <col min="16" max="16" width="9.140625" style="40"/>
    <col min="17" max="17" width="10.28515625" style="40" bestFit="1" customWidth="1"/>
    <col min="18" max="18" width="9.140625" style="40"/>
    <col min="19" max="19" width="10.140625" style="40" bestFit="1" customWidth="1"/>
    <col min="20" max="24" width="9.140625" style="40"/>
    <col min="25" max="25" width="12.85546875" style="40" bestFit="1" customWidth="1"/>
    <col min="26" max="16384" width="9.140625" style="40"/>
  </cols>
  <sheetData>
    <row r="1" spans="2:35" ht="13.5" thickBot="1" x14ac:dyDescent="0.25"/>
    <row r="2" spans="2:35" ht="13.5" thickTop="1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4"/>
      <c r="M2" s="64" t="s">
        <v>168</v>
      </c>
    </row>
    <row r="3" spans="2:35" ht="20.25" customHeight="1" x14ac:dyDescent="0.2">
      <c r="B3" s="33"/>
      <c r="C3" s="65"/>
      <c r="D3" s="66"/>
      <c r="E3" s="66"/>
      <c r="F3" s="66"/>
      <c r="G3" s="66"/>
      <c r="H3" s="66"/>
      <c r="I3" s="66"/>
      <c r="J3" s="67" t="s">
        <v>0</v>
      </c>
      <c r="K3" s="67"/>
      <c r="L3" s="157">
        <f ca="1">TODAY()</f>
        <v>46036</v>
      </c>
      <c r="M3" s="68"/>
    </row>
    <row r="4" spans="2:35" ht="23.25" customHeight="1" x14ac:dyDescent="0.2">
      <c r="B4" s="33"/>
      <c r="C4" s="66"/>
      <c r="D4" s="66"/>
      <c r="E4" s="66"/>
      <c r="F4" s="66"/>
      <c r="G4" s="66"/>
      <c r="H4" s="66"/>
      <c r="I4" s="66"/>
      <c r="J4" s="66"/>
      <c r="K4" s="66"/>
      <c r="L4" s="66"/>
      <c r="M4" s="69"/>
    </row>
    <row r="5" spans="2:35" ht="18" customHeight="1" x14ac:dyDescent="0.25">
      <c r="B5" s="70"/>
      <c r="C5" s="71"/>
      <c r="D5" s="71"/>
      <c r="E5" s="342" t="str">
        <f>ST!E5:I5</f>
        <v>KOSZTORYS STUDIÓW STACJONARNYCH</v>
      </c>
      <c r="F5" s="342"/>
      <c r="G5" s="342"/>
      <c r="H5" s="342"/>
      <c r="I5" s="342"/>
      <c r="J5" s="37"/>
      <c r="K5" s="37"/>
      <c r="L5" s="158"/>
      <c r="M5" s="38"/>
    </row>
    <row r="6" spans="2:35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32"/>
      <c r="N6" s="42"/>
    </row>
    <row r="7" spans="2:35" ht="18" customHeight="1" x14ac:dyDescent="0.25">
      <c r="B7" s="74"/>
      <c r="C7" s="75"/>
      <c r="D7" s="75"/>
      <c r="E7" s="75"/>
      <c r="F7" s="76" t="s">
        <v>3</v>
      </c>
      <c r="G7" s="165">
        <f>ST!G7</f>
        <v>0</v>
      </c>
      <c r="H7" s="166">
        <f>ST!H7</f>
        <v>0</v>
      </c>
      <c r="I7" s="66"/>
      <c r="J7" s="76" t="s">
        <v>4</v>
      </c>
      <c r="K7" s="76"/>
      <c r="L7" s="167" t="str">
        <f>ST!K7</f>
        <v>-----------------------</v>
      </c>
      <c r="M7" s="160"/>
      <c r="AI7" s="43"/>
    </row>
    <row r="8" spans="2:35" x14ac:dyDescent="0.2">
      <c r="B8" s="33"/>
      <c r="C8" s="66"/>
      <c r="D8" s="66"/>
      <c r="E8" s="66"/>
      <c r="F8" s="66"/>
      <c r="G8" s="77"/>
      <c r="H8" s="78"/>
      <c r="I8" s="66"/>
      <c r="J8" s="66"/>
      <c r="K8" s="66"/>
      <c r="L8" s="66"/>
      <c r="M8" s="69"/>
    </row>
    <row r="9" spans="2:35" x14ac:dyDescent="0.2">
      <c r="B9" s="33"/>
      <c r="C9" s="66"/>
      <c r="D9" s="66"/>
      <c r="E9" s="66"/>
      <c r="F9" s="66"/>
      <c r="G9" s="66"/>
      <c r="H9" s="66"/>
      <c r="I9" s="66"/>
      <c r="J9" s="66"/>
      <c r="K9" s="66"/>
      <c r="L9" s="66"/>
      <c r="M9" s="69"/>
    </row>
    <row r="10" spans="2:35" ht="18" customHeight="1" x14ac:dyDescent="0.25">
      <c r="B10" s="343" t="s">
        <v>116</v>
      </c>
      <c r="C10" s="317"/>
      <c r="D10" s="317"/>
      <c r="E10" s="317"/>
      <c r="F10" s="344">
        <f>ST!E12:L12</f>
        <v>0</v>
      </c>
      <c r="G10" s="344"/>
      <c r="H10" s="344"/>
      <c r="I10" s="344"/>
      <c r="J10" s="344"/>
      <c r="K10" s="344"/>
      <c r="L10" s="344"/>
      <c r="M10" s="69"/>
    </row>
    <row r="11" spans="2:35" ht="18" customHeight="1" x14ac:dyDescent="0.25">
      <c r="B11" s="343" t="s">
        <v>117</v>
      </c>
      <c r="C11" s="317"/>
      <c r="D11" s="317"/>
      <c r="E11" s="317"/>
      <c r="F11" s="345">
        <f>ST!E11:L11</f>
        <v>0</v>
      </c>
      <c r="G11" s="345"/>
      <c r="H11" s="345"/>
      <c r="I11" s="345"/>
      <c r="J11" s="345"/>
      <c r="K11" s="345"/>
      <c r="L11" s="345"/>
      <c r="M11" s="69"/>
      <c r="Y11" s="44"/>
    </row>
    <row r="12" spans="2:35" ht="18" customHeight="1" x14ac:dyDescent="0.25">
      <c r="B12" s="343" t="s">
        <v>118</v>
      </c>
      <c r="C12" s="317"/>
      <c r="D12" s="317"/>
      <c r="E12" s="317"/>
      <c r="F12" s="345">
        <f>ST!E10:L10</f>
        <v>0</v>
      </c>
      <c r="G12" s="345"/>
      <c r="H12" s="345"/>
      <c r="I12" s="345"/>
      <c r="J12" s="345"/>
      <c r="K12" s="345"/>
      <c r="L12" s="345"/>
      <c r="M12" s="69"/>
    </row>
    <row r="13" spans="2:35" ht="18" customHeight="1" x14ac:dyDescent="0.25">
      <c r="B13" s="315" t="s">
        <v>119</v>
      </c>
      <c r="C13" s="316"/>
      <c r="D13" s="316"/>
      <c r="E13" s="316"/>
      <c r="F13" s="168">
        <f>ST!F13</f>
        <v>0</v>
      </c>
      <c r="G13" s="317" t="s">
        <v>120</v>
      </c>
      <c r="H13" s="317"/>
      <c r="I13" s="317"/>
      <c r="J13" s="79"/>
      <c r="K13" s="79"/>
      <c r="L13" s="79"/>
      <c r="M13" s="80"/>
    </row>
    <row r="14" spans="2:35" ht="18" customHeight="1" x14ac:dyDescent="0.25">
      <c r="B14" s="318" t="s">
        <v>121</v>
      </c>
      <c r="C14" s="319"/>
      <c r="D14" s="319"/>
      <c r="E14" s="168">
        <f>ST!E14</f>
        <v>0</v>
      </c>
      <c r="F14" s="168">
        <f>ST!F14</f>
        <v>0</v>
      </c>
      <c r="G14" s="319" t="s">
        <v>122</v>
      </c>
      <c r="H14" s="319"/>
      <c r="I14" s="168">
        <f>ST!I14</f>
        <v>0</v>
      </c>
      <c r="J14" s="168">
        <f>ST!J14</f>
        <v>0</v>
      </c>
      <c r="K14" s="81"/>
      <c r="L14" s="79"/>
      <c r="M14" s="80"/>
    </row>
    <row r="15" spans="2:35" ht="12" customHeight="1" x14ac:dyDescent="0.2">
      <c r="B15" s="82"/>
      <c r="C15" s="79"/>
      <c r="D15" s="79"/>
      <c r="E15" s="83" t="s">
        <v>10</v>
      </c>
      <c r="F15" s="83" t="s">
        <v>11</v>
      </c>
      <c r="G15" s="84"/>
      <c r="H15" s="84"/>
      <c r="I15" s="83" t="s">
        <v>10</v>
      </c>
      <c r="J15" s="83" t="s">
        <v>11</v>
      </c>
      <c r="K15" s="83"/>
      <c r="L15" s="79"/>
      <c r="M15" s="80"/>
    </row>
    <row r="16" spans="2:35" ht="18" customHeight="1" x14ac:dyDescent="0.25">
      <c r="B16" s="318" t="s">
        <v>123</v>
      </c>
      <c r="C16" s="319"/>
      <c r="D16" s="319"/>
      <c r="E16" s="168">
        <f>ST!F16</f>
        <v>0</v>
      </c>
      <c r="F16" s="79"/>
      <c r="G16" s="85"/>
      <c r="H16" s="86"/>
      <c r="I16" s="79"/>
      <c r="J16" s="316"/>
      <c r="K16" s="316"/>
      <c r="L16" s="316"/>
      <c r="M16" s="69"/>
    </row>
    <row r="17" spans="2:40" ht="18" customHeight="1" x14ac:dyDescent="0.2">
      <c r="B17" s="82"/>
      <c r="C17" s="79"/>
      <c r="D17" s="79"/>
      <c r="E17" s="66"/>
      <c r="F17" s="67"/>
      <c r="G17" s="85"/>
      <c r="H17" s="86"/>
      <c r="I17" s="67"/>
      <c r="J17" s="316"/>
      <c r="K17" s="316"/>
      <c r="L17" s="316"/>
      <c r="M17" s="69"/>
      <c r="AG17" s="45"/>
      <c r="AH17" s="46"/>
      <c r="AJ17" s="45"/>
      <c r="AK17" s="45"/>
      <c r="AL17" s="45"/>
      <c r="AM17" s="45"/>
    </row>
    <row r="18" spans="2:40" ht="18" customHeight="1" x14ac:dyDescent="0.2">
      <c r="B18" s="82"/>
      <c r="C18" s="79"/>
      <c r="D18" s="79"/>
      <c r="E18" s="66"/>
      <c r="F18" s="67"/>
      <c r="G18" s="85"/>
      <c r="H18" s="86"/>
      <c r="I18" s="79"/>
      <c r="J18" s="316"/>
      <c r="K18" s="316"/>
      <c r="L18" s="316"/>
      <c r="M18" s="69"/>
      <c r="AG18" s="45"/>
      <c r="AH18" s="46"/>
      <c r="AJ18" s="45"/>
      <c r="AK18" s="45"/>
      <c r="AL18" s="45"/>
      <c r="AM18" s="45"/>
    </row>
    <row r="19" spans="2:40" ht="18" customHeight="1" x14ac:dyDescent="0.2">
      <c r="B19" s="82"/>
      <c r="C19" s="79"/>
      <c r="D19" s="79"/>
      <c r="E19" s="66"/>
      <c r="F19" s="67"/>
      <c r="G19" s="66"/>
      <c r="H19" s="66"/>
      <c r="I19" s="66"/>
      <c r="J19" s="79"/>
      <c r="K19" s="79"/>
      <c r="L19" s="79"/>
      <c r="M19" s="80"/>
      <c r="AG19" s="45"/>
      <c r="AH19" s="46"/>
      <c r="AJ19" s="45"/>
      <c r="AK19" s="45"/>
      <c r="AL19" s="45"/>
      <c r="AM19" s="45"/>
    </row>
    <row r="20" spans="2:40" ht="15" thickBot="1" x14ac:dyDescent="0.25"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61" t="s">
        <v>163</v>
      </c>
      <c r="M20" s="162" t="s">
        <v>164</v>
      </c>
      <c r="AG20" s="45"/>
      <c r="AH20" s="46"/>
      <c r="AJ20" s="45"/>
      <c r="AK20" s="45"/>
      <c r="AL20" s="45"/>
      <c r="AM20" s="45"/>
    </row>
    <row r="21" spans="2:40" s="41" customFormat="1" ht="17.25" thickTop="1" thickBot="1" x14ac:dyDescent="0.25">
      <c r="B21" s="87" t="s">
        <v>19</v>
      </c>
      <c r="C21" s="88"/>
      <c r="D21" s="88"/>
      <c r="E21" s="88"/>
      <c r="F21" s="88"/>
      <c r="G21" s="88"/>
      <c r="H21" s="88"/>
      <c r="I21" s="88"/>
      <c r="J21" s="88"/>
      <c r="K21" s="88"/>
      <c r="L21" s="89" t="s">
        <v>20</v>
      </c>
      <c r="M21" s="89" t="s">
        <v>20</v>
      </c>
      <c r="Y21" s="40"/>
      <c r="Z21" s="40"/>
      <c r="AF21" s="40"/>
      <c r="AG21" s="47"/>
      <c r="AH21" s="46"/>
      <c r="AI21" s="40"/>
      <c r="AJ21" s="47"/>
      <c r="AK21" s="47"/>
      <c r="AL21" s="47"/>
      <c r="AM21" s="47"/>
      <c r="AN21" s="40"/>
    </row>
    <row r="22" spans="2:40" s="41" customFormat="1" ht="21.95" customHeight="1" thickTop="1" x14ac:dyDescent="0.2">
      <c r="B22" s="90"/>
      <c r="C22" s="91"/>
      <c r="D22" s="91"/>
      <c r="E22" s="91"/>
      <c r="F22" s="92"/>
      <c r="G22" s="92"/>
      <c r="H22" s="92"/>
      <c r="I22" s="92"/>
      <c r="J22" s="93"/>
      <c r="K22" s="169"/>
      <c r="L22" s="94"/>
      <c r="M22" s="94"/>
      <c r="Y22" s="40"/>
      <c r="Z22" s="40"/>
      <c r="AA22" s="40"/>
      <c r="AB22" s="40"/>
      <c r="AC22" s="40"/>
      <c r="AD22" s="40"/>
      <c r="AE22" s="40"/>
      <c r="AF22" s="40"/>
      <c r="AG22" s="47"/>
      <c r="AH22" s="46"/>
      <c r="AI22" s="40"/>
      <c r="AJ22" s="47"/>
      <c r="AK22" s="47"/>
      <c r="AL22" s="47"/>
      <c r="AM22" s="47"/>
      <c r="AN22" s="40"/>
    </row>
    <row r="23" spans="2:40" ht="20.100000000000001" customHeight="1" x14ac:dyDescent="0.2">
      <c r="B23" s="95"/>
      <c r="C23" s="96"/>
      <c r="D23" s="96"/>
      <c r="E23" s="96"/>
      <c r="F23" s="170" t="s">
        <v>124</v>
      </c>
      <c r="G23" s="170" t="s">
        <v>125</v>
      </c>
      <c r="H23" s="170" t="s">
        <v>126</v>
      </c>
      <c r="I23" s="170" t="s">
        <v>127</v>
      </c>
      <c r="J23" s="66"/>
      <c r="K23" s="66"/>
      <c r="L23" s="31"/>
      <c r="M23" s="31"/>
      <c r="AG23" s="45"/>
      <c r="AH23" s="46"/>
      <c r="AJ23" s="45"/>
      <c r="AK23" s="45"/>
      <c r="AL23" s="45"/>
      <c r="AM23" s="45"/>
    </row>
    <row r="24" spans="2:40" ht="16.5" customHeight="1" x14ac:dyDescent="0.2">
      <c r="B24" s="97" t="s">
        <v>128</v>
      </c>
      <c r="C24" s="335" t="s">
        <v>129</v>
      </c>
      <c r="D24" s="335"/>
      <c r="E24" s="336"/>
      <c r="F24" s="171">
        <f>ST!H24</f>
        <v>0</v>
      </c>
      <c r="G24" s="171" t="e">
        <f>ST!#REF!</f>
        <v>#REF!</v>
      </c>
      <c r="H24" s="171" t="e">
        <f>ST!#REF!</f>
        <v>#REF!</v>
      </c>
      <c r="I24" s="171" t="e">
        <f>ST!#REF!</f>
        <v>#REF!</v>
      </c>
      <c r="J24" s="98"/>
      <c r="K24" s="98"/>
      <c r="L24" s="31"/>
      <c r="M24" s="31"/>
      <c r="AB24" s="45"/>
      <c r="AG24" s="45"/>
      <c r="AH24" s="46"/>
      <c r="AI24" s="41"/>
      <c r="AJ24" s="45"/>
      <c r="AK24" s="45"/>
      <c r="AL24" s="45"/>
      <c r="AM24" s="45"/>
    </row>
    <row r="25" spans="2:40" ht="16.5" customHeight="1" x14ac:dyDescent="0.2">
      <c r="B25" s="97" t="s">
        <v>130</v>
      </c>
      <c r="C25" s="335" t="s">
        <v>28</v>
      </c>
      <c r="D25" s="335"/>
      <c r="E25" s="336"/>
      <c r="F25" s="171">
        <f>ST!G24</f>
        <v>0</v>
      </c>
      <c r="G25" s="171">
        <f>ST!G25</f>
        <v>0</v>
      </c>
      <c r="H25" s="171">
        <f>ST!H25</f>
        <v>0</v>
      </c>
      <c r="I25" s="171">
        <f>ST!I25</f>
        <v>0</v>
      </c>
      <c r="J25" s="98"/>
      <c r="K25" s="98"/>
      <c r="L25" s="99"/>
      <c r="M25" s="99"/>
      <c r="AG25" s="45"/>
      <c r="AH25" s="46"/>
      <c r="AJ25" s="45"/>
      <c r="AK25" s="45"/>
      <c r="AL25" s="45"/>
      <c r="AM25" s="45"/>
    </row>
    <row r="26" spans="2:40" ht="10.5" customHeight="1" x14ac:dyDescent="0.2">
      <c r="B26" s="33"/>
      <c r="C26" s="66"/>
      <c r="D26" s="79"/>
      <c r="E26" s="79"/>
      <c r="F26" s="66"/>
      <c r="G26" s="66"/>
      <c r="H26" s="66"/>
      <c r="I26" s="66"/>
      <c r="J26" s="98"/>
      <c r="K26" s="98"/>
      <c r="L26" s="99"/>
      <c r="M26" s="99"/>
      <c r="Y26" s="43"/>
      <c r="AG26" s="45"/>
      <c r="AH26" s="46"/>
      <c r="AJ26" s="45"/>
      <c r="AK26" s="45"/>
      <c r="AL26" s="45"/>
      <c r="AM26" s="45"/>
    </row>
    <row r="27" spans="2:40" ht="15" x14ac:dyDescent="0.25">
      <c r="B27" s="100" t="s">
        <v>131</v>
      </c>
      <c r="C27" s="79" t="s">
        <v>132</v>
      </c>
      <c r="D27" s="79"/>
      <c r="E27" s="79"/>
      <c r="F27" s="79"/>
      <c r="G27" s="79"/>
      <c r="H27" s="79"/>
      <c r="I27" s="79"/>
      <c r="J27" s="98" t="s">
        <v>32</v>
      </c>
      <c r="K27" s="98"/>
      <c r="L27" s="172">
        <f>ST!M23</f>
        <v>0</v>
      </c>
      <c r="M27" s="204">
        <v>0</v>
      </c>
      <c r="N27" s="42"/>
      <c r="O27" s="42"/>
      <c r="P27" s="42"/>
      <c r="Q27" s="42"/>
      <c r="R27" s="42"/>
      <c r="AG27" s="45"/>
      <c r="AH27" s="46"/>
      <c r="AJ27" s="45"/>
      <c r="AK27" s="45"/>
      <c r="AL27" s="45"/>
      <c r="AM27" s="45"/>
    </row>
    <row r="28" spans="2:40" ht="15" thickBot="1" x14ac:dyDescent="0.25">
      <c r="B28" s="101"/>
      <c r="C28" s="102"/>
      <c r="D28" s="102"/>
      <c r="E28" s="102"/>
      <c r="F28" s="102"/>
      <c r="G28" s="102"/>
      <c r="H28" s="102"/>
      <c r="I28" s="102"/>
      <c r="J28" s="103"/>
      <c r="K28" s="80"/>
      <c r="L28" s="104"/>
      <c r="M28" s="104"/>
      <c r="AG28" s="45"/>
      <c r="AH28" s="46"/>
      <c r="AJ28" s="45"/>
      <c r="AK28" s="45"/>
      <c r="AL28" s="45"/>
      <c r="AM28" s="45"/>
    </row>
    <row r="29" spans="2:40" s="41" customFormat="1" ht="21.95" customHeight="1" thickTop="1" thickBot="1" x14ac:dyDescent="0.25">
      <c r="B29" s="87" t="s">
        <v>133</v>
      </c>
      <c r="C29" s="88"/>
      <c r="D29" s="88"/>
      <c r="E29" s="88"/>
      <c r="F29" s="88"/>
      <c r="G29" s="88"/>
      <c r="H29" s="88"/>
      <c r="I29" s="88"/>
      <c r="J29" s="88"/>
      <c r="K29" s="88"/>
      <c r="L29" s="89" t="s">
        <v>20</v>
      </c>
      <c r="M29" s="89" t="s">
        <v>20</v>
      </c>
    </row>
    <row r="30" spans="2:40" ht="20.100000000000001" customHeight="1" thickTop="1" x14ac:dyDescent="0.2">
      <c r="B30" s="105"/>
      <c r="C30" s="106" t="s">
        <v>128</v>
      </c>
      <c r="D30" s="79" t="s">
        <v>73</v>
      </c>
      <c r="E30" s="79"/>
      <c r="F30" s="79"/>
      <c r="G30" s="79"/>
      <c r="H30" s="79"/>
      <c r="I30" s="79"/>
      <c r="J30" s="79"/>
      <c r="K30" s="79"/>
      <c r="L30" s="104"/>
      <c r="M30" s="104"/>
    </row>
    <row r="31" spans="2:40" ht="15" customHeight="1" x14ac:dyDescent="0.2">
      <c r="B31" s="105"/>
      <c r="C31" s="107"/>
      <c r="D31" s="79"/>
      <c r="E31" s="79"/>
      <c r="F31" s="79"/>
      <c r="G31" s="79"/>
      <c r="H31" s="79"/>
      <c r="I31" s="79"/>
      <c r="J31" s="79"/>
      <c r="K31" s="79"/>
      <c r="L31" s="104"/>
      <c r="M31" s="104"/>
    </row>
    <row r="32" spans="2:40" ht="14.25" x14ac:dyDescent="0.2">
      <c r="B32" s="105"/>
      <c r="C32" s="79"/>
      <c r="D32" s="79"/>
      <c r="E32" s="79"/>
      <c r="F32" s="325" t="s">
        <v>38</v>
      </c>
      <c r="G32" s="325"/>
      <c r="H32" s="325" t="s">
        <v>39</v>
      </c>
      <c r="I32" s="325"/>
      <c r="J32" s="79"/>
      <c r="K32" s="79"/>
      <c r="L32" s="104"/>
      <c r="M32" s="104"/>
      <c r="O32" s="48"/>
    </row>
    <row r="33" spans="2:21" ht="22.5" x14ac:dyDescent="0.2">
      <c r="B33" s="105"/>
      <c r="C33" s="337" t="s">
        <v>34</v>
      </c>
      <c r="D33" s="337"/>
      <c r="E33" s="173" t="s">
        <v>62</v>
      </c>
      <c r="F33" s="170" t="s">
        <v>40</v>
      </c>
      <c r="G33" s="170" t="s">
        <v>53</v>
      </c>
      <c r="H33" s="170" t="s">
        <v>40</v>
      </c>
      <c r="I33" s="170" t="s">
        <v>41</v>
      </c>
      <c r="J33" s="79"/>
      <c r="K33" s="79"/>
      <c r="L33" s="104"/>
      <c r="M33" s="104"/>
      <c r="N33" s="49"/>
      <c r="O33" s="48"/>
      <c r="P33" s="49"/>
      <c r="Q33" s="50"/>
    </row>
    <row r="34" spans="2:21" ht="16.5" customHeight="1" x14ac:dyDescent="0.2">
      <c r="B34" s="105"/>
      <c r="C34" s="214" t="s">
        <v>170</v>
      </c>
      <c r="D34" s="108"/>
      <c r="E34" s="175" t="s">
        <v>54</v>
      </c>
      <c r="F34" s="176">
        <f>ST!F35</f>
        <v>0</v>
      </c>
      <c r="G34" s="176">
        <f>ST!G35</f>
        <v>0</v>
      </c>
      <c r="H34" s="176">
        <f>ST!H35</f>
        <v>0</v>
      </c>
      <c r="I34" s="226">
        <f>ST!J35</f>
        <v>0</v>
      </c>
      <c r="J34" s="177"/>
      <c r="K34" s="178">
        <f>H34*I34</f>
        <v>0</v>
      </c>
      <c r="L34" s="31">
        <f>ST!M35</f>
        <v>0</v>
      </c>
      <c r="M34" s="155"/>
      <c r="N34" s="51"/>
      <c r="O34" s="51"/>
      <c r="P34" s="51"/>
      <c r="Q34" s="51"/>
      <c r="U34" s="52"/>
    </row>
    <row r="35" spans="2:21" ht="16.5" customHeight="1" x14ac:dyDescent="0.2">
      <c r="B35" s="105"/>
      <c r="C35" s="214" t="s">
        <v>169</v>
      </c>
      <c r="D35" s="108"/>
      <c r="E35" s="175" t="s">
        <v>54</v>
      </c>
      <c r="F35" s="176">
        <f>ST!F36</f>
        <v>0</v>
      </c>
      <c r="G35" s="176">
        <f>ST!G36</f>
        <v>0</v>
      </c>
      <c r="H35" s="176">
        <f>ST!H36</f>
        <v>0</v>
      </c>
      <c r="I35" s="226">
        <f>ST!J36</f>
        <v>0</v>
      </c>
      <c r="J35" s="179"/>
      <c r="K35" s="178">
        <f t="shared" ref="K35:K44" si="0">H35*I35</f>
        <v>0</v>
      </c>
      <c r="L35" s="31">
        <f>ST!M36</f>
        <v>0</v>
      </c>
      <c r="M35" s="155"/>
      <c r="N35" s="51"/>
      <c r="O35" s="51"/>
      <c r="P35" s="51"/>
      <c r="Q35" s="51"/>
      <c r="R35" s="51"/>
      <c r="U35" s="53"/>
    </row>
    <row r="36" spans="2:21" ht="16.5" customHeight="1" x14ac:dyDescent="0.2">
      <c r="B36" s="105"/>
      <c r="C36" s="214" t="s">
        <v>169</v>
      </c>
      <c r="D36" s="108"/>
      <c r="E36" s="175" t="s">
        <v>58</v>
      </c>
      <c r="F36" s="176">
        <f>ST!F37</f>
        <v>0</v>
      </c>
      <c r="G36" s="176">
        <f>ST!G37</f>
        <v>0</v>
      </c>
      <c r="H36" s="176">
        <f>ST!H37</f>
        <v>0</v>
      </c>
      <c r="I36" s="226">
        <f>ST!J37</f>
        <v>0</v>
      </c>
      <c r="J36" s="180"/>
      <c r="K36" s="178">
        <f t="shared" si="0"/>
        <v>0</v>
      </c>
      <c r="L36" s="31">
        <f>ST!M37</f>
        <v>0</v>
      </c>
      <c r="M36" s="155"/>
      <c r="N36" s="51"/>
      <c r="O36" s="51"/>
      <c r="P36" s="51"/>
      <c r="Q36" s="51"/>
      <c r="R36" s="51"/>
    </row>
    <row r="37" spans="2:21" ht="16.5" customHeight="1" x14ac:dyDescent="0.2">
      <c r="B37" s="105"/>
      <c r="C37" s="174" t="s">
        <v>57</v>
      </c>
      <c r="D37" s="108"/>
      <c r="E37" s="175" t="s">
        <v>58</v>
      </c>
      <c r="F37" s="176">
        <f>ST!F38</f>
        <v>0</v>
      </c>
      <c r="G37" s="176">
        <f>ST!G38</f>
        <v>0</v>
      </c>
      <c r="H37" s="176">
        <f>ST!H38</f>
        <v>0</v>
      </c>
      <c r="I37" s="226">
        <f>ST!J38</f>
        <v>0</v>
      </c>
      <c r="J37" s="181"/>
      <c r="K37" s="178">
        <f t="shared" si="0"/>
        <v>0</v>
      </c>
      <c r="L37" s="31">
        <f>ST!M38</f>
        <v>0</v>
      </c>
      <c r="M37" s="155"/>
      <c r="N37" s="51"/>
      <c r="O37" s="48"/>
      <c r="P37" s="51"/>
      <c r="Q37" s="51"/>
      <c r="R37" s="51"/>
      <c r="U37" s="52"/>
    </row>
    <row r="38" spans="2:21" ht="16.5" customHeight="1" x14ac:dyDescent="0.2">
      <c r="B38" s="105"/>
      <c r="C38" s="174" t="s">
        <v>57</v>
      </c>
      <c r="D38" s="108"/>
      <c r="E38" s="175" t="s">
        <v>59</v>
      </c>
      <c r="F38" s="176">
        <f>ST!F39</f>
        <v>0</v>
      </c>
      <c r="G38" s="176">
        <f>ST!G39</f>
        <v>0</v>
      </c>
      <c r="H38" s="176">
        <f>ST!H39</f>
        <v>0</v>
      </c>
      <c r="I38" s="226">
        <f>ST!J39</f>
        <v>0</v>
      </c>
      <c r="J38" s="181"/>
      <c r="K38" s="178">
        <f t="shared" si="0"/>
        <v>0</v>
      </c>
      <c r="L38" s="31">
        <f>ST!M39</f>
        <v>0</v>
      </c>
      <c r="M38" s="155"/>
      <c r="N38" s="51"/>
      <c r="O38" s="51"/>
      <c r="P38" s="51"/>
      <c r="Q38" s="51"/>
      <c r="R38" s="51"/>
      <c r="U38" s="53"/>
    </row>
    <row r="39" spans="2:21" ht="16.5" customHeight="1" x14ac:dyDescent="0.2">
      <c r="B39" s="105"/>
      <c r="C39" s="174" t="s">
        <v>60</v>
      </c>
      <c r="D39" s="108"/>
      <c r="E39" s="175" t="s">
        <v>59</v>
      </c>
      <c r="F39" s="176">
        <f>ST!F42</f>
        <v>0</v>
      </c>
      <c r="G39" s="176">
        <f>ST!G42</f>
        <v>0</v>
      </c>
      <c r="H39" s="176">
        <f>ST!H42</f>
        <v>0</v>
      </c>
      <c r="I39" s="226">
        <f>ST!J42</f>
        <v>0</v>
      </c>
      <c r="J39" s="181"/>
      <c r="K39" s="178">
        <f t="shared" si="0"/>
        <v>0</v>
      </c>
      <c r="L39" s="31">
        <f>ST!M42</f>
        <v>0</v>
      </c>
      <c r="M39" s="155"/>
      <c r="N39" s="51"/>
      <c r="O39" s="51"/>
      <c r="P39" s="51"/>
      <c r="Q39" s="51"/>
      <c r="R39" s="51"/>
    </row>
    <row r="40" spans="2:21" ht="16.5" customHeight="1" x14ac:dyDescent="0.2">
      <c r="B40" s="105"/>
      <c r="C40" s="174" t="s">
        <v>60</v>
      </c>
      <c r="D40" s="108"/>
      <c r="E40" s="175" t="s">
        <v>65</v>
      </c>
      <c r="F40" s="176">
        <f>ST!F43</f>
        <v>0</v>
      </c>
      <c r="G40" s="176">
        <f>ST!G43</f>
        <v>0</v>
      </c>
      <c r="H40" s="176">
        <f>ST!H43</f>
        <v>0</v>
      </c>
      <c r="I40" s="226">
        <f>ST!J43</f>
        <v>0</v>
      </c>
      <c r="J40" s="181"/>
      <c r="K40" s="178">
        <f t="shared" si="0"/>
        <v>0</v>
      </c>
      <c r="L40" s="31">
        <f>ST!M43</f>
        <v>0</v>
      </c>
      <c r="M40" s="155"/>
      <c r="N40" s="51"/>
      <c r="O40" s="51"/>
      <c r="P40" s="51"/>
      <c r="Q40" s="51"/>
      <c r="R40" s="51"/>
      <c r="U40" s="52"/>
    </row>
    <row r="41" spans="2:21" ht="16.5" customHeight="1" x14ac:dyDescent="0.2">
      <c r="B41" s="105"/>
      <c r="C41" s="174" t="s">
        <v>61</v>
      </c>
      <c r="D41" s="108"/>
      <c r="E41" s="175" t="s">
        <v>59</v>
      </c>
      <c r="F41" s="176">
        <f>ST!F44</f>
        <v>0</v>
      </c>
      <c r="G41" s="176">
        <f>ST!G44</f>
        <v>0</v>
      </c>
      <c r="H41" s="176">
        <f>ST!H44</f>
        <v>0</v>
      </c>
      <c r="I41" s="226">
        <f>ST!J44</f>
        <v>0</v>
      </c>
      <c r="J41" s="181"/>
      <c r="K41" s="178">
        <f t="shared" si="0"/>
        <v>0</v>
      </c>
      <c r="L41" s="31">
        <f>ST!M44</f>
        <v>0</v>
      </c>
      <c r="M41" s="155"/>
      <c r="N41" s="51"/>
      <c r="O41" s="51"/>
      <c r="P41" s="51"/>
      <c r="Q41" s="51"/>
      <c r="R41" s="51"/>
      <c r="U41" s="53"/>
    </row>
    <row r="42" spans="2:21" ht="16.5" customHeight="1" x14ac:dyDescent="0.2">
      <c r="B42" s="105"/>
      <c r="C42" s="174" t="s">
        <v>61</v>
      </c>
      <c r="D42" s="108"/>
      <c r="E42" s="175" t="s">
        <v>65</v>
      </c>
      <c r="F42" s="176">
        <f>ST!F45</f>
        <v>0</v>
      </c>
      <c r="G42" s="176">
        <f>ST!G45</f>
        <v>0</v>
      </c>
      <c r="H42" s="176">
        <f>ST!H45</f>
        <v>0</v>
      </c>
      <c r="I42" s="226">
        <f>ST!J45</f>
        <v>0</v>
      </c>
      <c r="J42" s="181"/>
      <c r="K42" s="178">
        <f t="shared" si="0"/>
        <v>0</v>
      </c>
      <c r="L42" s="31">
        <f>ST!M45</f>
        <v>0</v>
      </c>
      <c r="M42" s="155"/>
      <c r="N42" s="51"/>
      <c r="O42" s="51"/>
      <c r="P42" s="51"/>
      <c r="Q42" s="51"/>
      <c r="R42" s="51"/>
    </row>
    <row r="43" spans="2:21" ht="16.5" customHeight="1" x14ac:dyDescent="0.2">
      <c r="B43" s="105"/>
      <c r="C43" s="174" t="s">
        <v>63</v>
      </c>
      <c r="D43" s="108"/>
      <c r="E43" s="175" t="s">
        <v>65</v>
      </c>
      <c r="F43" s="176">
        <f>ST!F46</f>
        <v>0</v>
      </c>
      <c r="G43" s="176">
        <f>ST!G46</f>
        <v>0</v>
      </c>
      <c r="H43" s="176">
        <f>ST!H46</f>
        <v>0</v>
      </c>
      <c r="I43" s="226">
        <f>ST!J46</f>
        <v>0</v>
      </c>
      <c r="J43" s="181"/>
      <c r="K43" s="178">
        <f t="shared" si="0"/>
        <v>0</v>
      </c>
      <c r="L43" s="31">
        <f>ST!M46</f>
        <v>0</v>
      </c>
      <c r="M43" s="155"/>
      <c r="N43" s="51"/>
      <c r="O43" s="51"/>
      <c r="P43" s="51"/>
      <c r="Q43" s="51"/>
      <c r="R43" s="51"/>
    </row>
    <row r="44" spans="2:21" ht="16.5" customHeight="1" x14ac:dyDescent="0.2">
      <c r="B44" s="105"/>
      <c r="C44" s="174" t="s">
        <v>64</v>
      </c>
      <c r="D44" s="108"/>
      <c r="E44" s="175" t="s">
        <v>65</v>
      </c>
      <c r="F44" s="176" t="e">
        <f>ST!#REF!</f>
        <v>#REF!</v>
      </c>
      <c r="G44" s="176" t="e">
        <f>ST!#REF!</f>
        <v>#REF!</v>
      </c>
      <c r="H44" s="176" t="e">
        <f>ST!#REF!</f>
        <v>#REF!</v>
      </c>
      <c r="I44" s="226" t="e">
        <f>ST!#REF!</f>
        <v>#REF!</v>
      </c>
      <c r="J44" s="79"/>
      <c r="K44" s="178" t="e">
        <f t="shared" si="0"/>
        <v>#REF!</v>
      </c>
      <c r="L44" s="31" t="e">
        <f>ST!#REF!</f>
        <v>#REF!</v>
      </c>
      <c r="M44" s="155"/>
      <c r="N44" s="51"/>
      <c r="O44" s="51"/>
      <c r="P44" s="51"/>
      <c r="Q44" s="51"/>
      <c r="R44" s="51"/>
    </row>
    <row r="45" spans="2:21" ht="14.25" x14ac:dyDescent="0.2">
      <c r="B45" s="105"/>
      <c r="C45" s="79"/>
      <c r="D45" s="79"/>
      <c r="E45" s="79"/>
      <c r="F45" s="79"/>
      <c r="G45" s="79"/>
      <c r="H45" s="79"/>
      <c r="I45" s="79"/>
      <c r="J45" s="109" t="s">
        <v>42</v>
      </c>
      <c r="K45" s="110" t="e">
        <f>SUM(K34:K44)</f>
        <v>#REF!</v>
      </c>
      <c r="L45" s="31">
        <f>ST!M48</f>
        <v>0</v>
      </c>
      <c r="M45" s="205"/>
      <c r="N45" s="51"/>
      <c r="O45" s="48"/>
      <c r="P45" s="51"/>
      <c r="Q45" s="51"/>
      <c r="R45" s="51"/>
    </row>
    <row r="46" spans="2:21" ht="14.25" customHeight="1" x14ac:dyDescent="0.2">
      <c r="B46" s="105"/>
      <c r="C46" s="294" t="s">
        <v>70</v>
      </c>
      <c r="D46" s="295"/>
      <c r="E46" s="182" t="str">
        <f>ST!I49</f>
        <v>0</v>
      </c>
      <c r="F46" s="338" t="s">
        <v>69</v>
      </c>
      <c r="G46" s="297"/>
      <c r="H46" s="297"/>
      <c r="I46" s="297"/>
      <c r="J46" s="339"/>
      <c r="K46" s="183"/>
      <c r="L46" s="31">
        <f>ST!M49</f>
        <v>0</v>
      </c>
      <c r="M46" s="205"/>
      <c r="N46" s="51"/>
      <c r="O46" s="51"/>
      <c r="P46" s="51"/>
      <c r="Q46" s="51"/>
      <c r="R46" s="51"/>
    </row>
    <row r="47" spans="2:21" ht="15" x14ac:dyDescent="0.2">
      <c r="B47" s="112"/>
      <c r="C47" s="113"/>
      <c r="D47" s="113"/>
      <c r="E47" s="113"/>
      <c r="F47" s="113"/>
      <c r="G47" s="113"/>
      <c r="H47" s="113"/>
      <c r="I47" s="113"/>
      <c r="J47" s="114"/>
      <c r="K47" s="114"/>
      <c r="L47" s="115"/>
      <c r="M47" s="115"/>
      <c r="N47" s="51"/>
      <c r="O47" s="48"/>
      <c r="P47" s="51"/>
      <c r="Q47" s="51"/>
      <c r="R47" s="51"/>
    </row>
    <row r="48" spans="2:21" ht="14.25" x14ac:dyDescent="0.2">
      <c r="B48" s="116"/>
      <c r="C48" s="117" t="s">
        <v>130</v>
      </c>
      <c r="D48" s="118" t="s">
        <v>74</v>
      </c>
      <c r="E48" s="118"/>
      <c r="F48" s="118"/>
      <c r="G48" s="118"/>
      <c r="H48" s="118"/>
      <c r="I48" s="118"/>
      <c r="J48" s="118"/>
      <c r="K48" s="118"/>
      <c r="L48" s="119"/>
      <c r="M48" s="119"/>
      <c r="N48" s="51"/>
      <c r="O48" s="51"/>
      <c r="P48" s="51"/>
      <c r="Q48" s="51"/>
      <c r="R48" s="51"/>
    </row>
    <row r="49" spans="2:39" ht="14.25" x14ac:dyDescent="0.2">
      <c r="B49" s="105"/>
      <c r="C49" s="107"/>
      <c r="D49" s="79"/>
      <c r="E49" s="79"/>
      <c r="F49" s="79"/>
      <c r="G49" s="79"/>
      <c r="H49" s="79"/>
      <c r="I49" s="66"/>
      <c r="J49" s="79"/>
      <c r="K49" s="79"/>
      <c r="L49" s="31"/>
      <c r="M49" s="31"/>
      <c r="N49" s="51"/>
      <c r="O49" s="51"/>
      <c r="P49" s="51"/>
      <c r="Q49" s="51"/>
      <c r="R49" s="51"/>
    </row>
    <row r="50" spans="2:39" ht="14.25" x14ac:dyDescent="0.2">
      <c r="B50" s="82"/>
      <c r="C50" s="79"/>
      <c r="D50" s="79"/>
      <c r="E50" s="79"/>
      <c r="F50" s="340" t="s">
        <v>40</v>
      </c>
      <c r="G50" s="340"/>
      <c r="H50" s="340" t="s">
        <v>41</v>
      </c>
      <c r="I50" s="340"/>
      <c r="J50" s="79"/>
      <c r="K50" s="79"/>
      <c r="L50" s="31"/>
      <c r="M50" s="31"/>
      <c r="N50" s="51"/>
      <c r="O50" s="51"/>
      <c r="P50" s="51"/>
      <c r="Q50" s="51"/>
      <c r="R50" s="51"/>
    </row>
    <row r="51" spans="2:39" ht="14.25" x14ac:dyDescent="0.2">
      <c r="B51" s="82"/>
      <c r="C51" s="340" t="s">
        <v>62</v>
      </c>
      <c r="D51" s="340"/>
      <c r="E51" s="340"/>
      <c r="F51" s="184" t="s">
        <v>43</v>
      </c>
      <c r="G51" s="185" t="s">
        <v>44</v>
      </c>
      <c r="H51" s="184" t="s">
        <v>43</v>
      </c>
      <c r="I51" s="184" t="s">
        <v>44</v>
      </c>
      <c r="J51" s="79"/>
      <c r="K51" s="79"/>
      <c r="L51" s="31"/>
      <c r="M51" s="31"/>
      <c r="N51" s="51"/>
      <c r="O51" s="48"/>
      <c r="P51" s="51"/>
      <c r="Q51" s="51"/>
      <c r="R51" s="51"/>
    </row>
    <row r="52" spans="2:39" ht="16.5" customHeight="1" x14ac:dyDescent="0.2">
      <c r="B52" s="82"/>
      <c r="C52" s="186" t="s">
        <v>71</v>
      </c>
      <c r="D52" s="187"/>
      <c r="E52" s="188"/>
      <c r="F52" s="189"/>
      <c r="G52" s="176">
        <f>ST!G55</f>
        <v>0</v>
      </c>
      <c r="H52" s="190"/>
      <c r="I52" s="28">
        <f>ST!I55</f>
        <v>0</v>
      </c>
      <c r="J52" s="79"/>
      <c r="K52" s="79"/>
      <c r="L52" s="31">
        <f>ST!M55</f>
        <v>0</v>
      </c>
      <c r="M52" s="155"/>
      <c r="N52" s="51"/>
      <c r="O52" s="51"/>
      <c r="P52" s="51"/>
      <c r="Q52" s="51"/>
      <c r="R52" s="51"/>
    </row>
    <row r="53" spans="2:39" ht="16.5" customHeight="1" x14ac:dyDescent="0.2">
      <c r="B53" s="82"/>
      <c r="C53" s="186" t="s">
        <v>50</v>
      </c>
      <c r="D53" s="187"/>
      <c r="E53" s="188"/>
      <c r="F53" s="189"/>
      <c r="G53" s="176">
        <f>ST!G56</f>
        <v>0</v>
      </c>
      <c r="H53" s="190"/>
      <c r="I53" s="28">
        <f>ST!I56</f>
        <v>0</v>
      </c>
      <c r="J53" s="79"/>
      <c r="K53" s="79"/>
      <c r="L53" s="31">
        <f>ST!M56</f>
        <v>0</v>
      </c>
      <c r="M53" s="155"/>
      <c r="N53" s="51"/>
      <c r="O53" s="51"/>
      <c r="P53" s="51"/>
      <c r="Q53" s="51"/>
      <c r="R53" s="51"/>
    </row>
    <row r="54" spans="2:39" ht="16.5" customHeight="1" x14ac:dyDescent="0.2">
      <c r="B54" s="82"/>
      <c r="C54" s="186" t="s">
        <v>51</v>
      </c>
      <c r="D54" s="187"/>
      <c r="E54" s="188"/>
      <c r="F54" s="176">
        <f>ST!F57</f>
        <v>0</v>
      </c>
      <c r="G54" s="176">
        <f>ST!G57</f>
        <v>0</v>
      </c>
      <c r="H54" s="28">
        <f>ST!H57</f>
        <v>0</v>
      </c>
      <c r="I54" s="28">
        <f>ST!I57</f>
        <v>0</v>
      </c>
      <c r="J54" s="79"/>
      <c r="K54" s="79"/>
      <c r="L54" s="31">
        <f>ST!M57</f>
        <v>0</v>
      </c>
      <c r="M54" s="155"/>
      <c r="N54" s="51"/>
      <c r="O54" s="51"/>
      <c r="P54" s="51"/>
      <c r="Q54" s="51"/>
      <c r="R54" s="51"/>
    </row>
    <row r="55" spans="2:39" ht="16.5" customHeight="1" x14ac:dyDescent="0.2">
      <c r="B55" s="82"/>
      <c r="C55" s="186" t="s">
        <v>52</v>
      </c>
      <c r="D55" s="187"/>
      <c r="E55" s="188"/>
      <c r="F55" s="176">
        <f>ST!F58</f>
        <v>0</v>
      </c>
      <c r="G55" s="176">
        <f>ST!G58</f>
        <v>0</v>
      </c>
      <c r="H55" s="28">
        <f>ST!H58</f>
        <v>0</v>
      </c>
      <c r="I55" s="28">
        <f>ST!I58</f>
        <v>0</v>
      </c>
      <c r="J55" s="79"/>
      <c r="K55" s="79"/>
      <c r="L55" s="31">
        <f>ST!M58</f>
        <v>0</v>
      </c>
      <c r="M55" s="155"/>
      <c r="N55" s="51"/>
      <c r="O55" s="51"/>
      <c r="P55" s="51"/>
      <c r="Q55" s="51"/>
      <c r="R55" s="51"/>
    </row>
    <row r="56" spans="2:39" ht="20.100000000000001" customHeight="1" x14ac:dyDescent="0.2">
      <c r="B56" s="82"/>
      <c r="C56" s="79"/>
      <c r="D56" s="79"/>
      <c r="E56" s="79"/>
      <c r="F56" s="79"/>
      <c r="G56" s="79"/>
      <c r="H56" s="79"/>
      <c r="I56" s="79"/>
      <c r="J56" s="109" t="s">
        <v>42</v>
      </c>
      <c r="K56" s="109"/>
      <c r="L56" s="31">
        <f>ST!M59</f>
        <v>0</v>
      </c>
      <c r="M56" s="205"/>
      <c r="O56" s="51"/>
    </row>
    <row r="57" spans="2:39" ht="18.75" customHeight="1" x14ac:dyDescent="0.2">
      <c r="B57" s="82"/>
      <c r="C57" s="294" t="s">
        <v>72</v>
      </c>
      <c r="D57" s="295"/>
      <c r="E57" s="30" t="str">
        <f>E46</f>
        <v>0</v>
      </c>
      <c r="F57" s="297" t="s">
        <v>45</v>
      </c>
      <c r="G57" s="297"/>
      <c r="H57" s="297"/>
      <c r="I57" s="297"/>
      <c r="J57" s="339"/>
      <c r="K57" s="183"/>
      <c r="L57" s="31">
        <f>ST!M60</f>
        <v>0</v>
      </c>
      <c r="M57" s="206"/>
    </row>
    <row r="58" spans="2:39" ht="14.25" x14ac:dyDescent="0.2">
      <c r="B58" s="120"/>
      <c r="C58" s="121"/>
      <c r="D58" s="121"/>
      <c r="E58" s="121"/>
      <c r="F58" s="121"/>
      <c r="G58" s="121"/>
      <c r="H58" s="121"/>
      <c r="I58" s="121"/>
      <c r="J58" s="122"/>
      <c r="K58" s="122"/>
      <c r="L58" s="123"/>
      <c r="M58" s="123"/>
    </row>
    <row r="59" spans="2:39" ht="14.25" x14ac:dyDescent="0.2">
      <c r="B59" s="124"/>
      <c r="C59" s="125" t="s">
        <v>131</v>
      </c>
      <c r="D59" s="126" t="s">
        <v>171</v>
      </c>
      <c r="E59" s="126"/>
      <c r="F59" s="126"/>
      <c r="G59" s="126"/>
      <c r="H59" s="126"/>
      <c r="I59" s="126"/>
      <c r="J59" s="126"/>
      <c r="K59" s="126"/>
      <c r="L59" s="127"/>
      <c r="M59" s="127"/>
    </row>
    <row r="60" spans="2:39" ht="24" customHeight="1" x14ac:dyDescent="0.2">
      <c r="B60" s="33"/>
      <c r="C60" s="67" t="s">
        <v>46</v>
      </c>
      <c r="D60" s="341">
        <f>ST!D63:E63</f>
        <v>0</v>
      </c>
      <c r="E60" s="341"/>
      <c r="F60" s="79" t="s">
        <v>154</v>
      </c>
      <c r="G60" s="79"/>
      <c r="H60" s="79"/>
      <c r="I60" s="79"/>
      <c r="J60" s="79"/>
      <c r="K60" s="79"/>
      <c r="L60" s="31">
        <f>ST!M63</f>
        <v>0</v>
      </c>
      <c r="M60" s="155"/>
    </row>
    <row r="61" spans="2:39" ht="25.5" customHeight="1" x14ac:dyDescent="0.2">
      <c r="B61" s="33"/>
      <c r="C61" s="67" t="s">
        <v>134</v>
      </c>
      <c r="D61" s="191">
        <f>ST!D64</f>
        <v>0</v>
      </c>
      <c r="E61" s="192" t="s">
        <v>135</v>
      </c>
      <c r="F61" s="128">
        <f>ST!F64</f>
        <v>0</v>
      </c>
      <c r="G61" s="79" t="s">
        <v>136</v>
      </c>
      <c r="H61" s="79"/>
      <c r="I61" s="79"/>
      <c r="J61" s="79"/>
      <c r="K61" s="79"/>
      <c r="L61" s="31">
        <f>ST!M64</f>
        <v>0</v>
      </c>
      <c r="M61" s="155"/>
    </row>
    <row r="62" spans="2:39" ht="24" customHeight="1" x14ac:dyDescent="0.2">
      <c r="B62" s="33"/>
      <c r="C62" s="67" t="s">
        <v>137</v>
      </c>
      <c r="D62" s="319" t="s">
        <v>138</v>
      </c>
      <c r="E62" s="319"/>
      <c r="F62" s="193" t="str">
        <f>E46</f>
        <v>0</v>
      </c>
      <c r="G62" s="79" t="s">
        <v>139</v>
      </c>
      <c r="H62" s="79"/>
      <c r="I62" s="79"/>
      <c r="J62" s="79"/>
      <c r="K62" s="79"/>
      <c r="L62" s="31">
        <f>ST!M65</f>
        <v>0</v>
      </c>
      <c r="M62" s="155"/>
    </row>
    <row r="63" spans="2:39" ht="14.25" x14ac:dyDescent="0.2">
      <c r="B63" s="129"/>
      <c r="C63" s="130"/>
      <c r="D63" s="130"/>
      <c r="E63" s="130"/>
      <c r="F63" s="130"/>
      <c r="G63" s="130"/>
      <c r="H63" s="130"/>
      <c r="I63" s="130"/>
      <c r="J63" s="131"/>
      <c r="K63" s="131"/>
      <c r="L63" s="132"/>
      <c r="M63" s="132"/>
    </row>
    <row r="64" spans="2:39" ht="16.5" customHeight="1" x14ac:dyDescent="0.2">
      <c r="B64" s="133"/>
      <c r="C64" s="298" t="s">
        <v>155</v>
      </c>
      <c r="D64" s="194" t="s">
        <v>140</v>
      </c>
      <c r="E64" s="194"/>
      <c r="F64" s="194"/>
      <c r="G64" s="194"/>
      <c r="H64" s="134"/>
      <c r="I64" s="135"/>
      <c r="J64" s="135"/>
      <c r="K64" s="136"/>
      <c r="L64" s="34">
        <f>ST!M67</f>
        <v>0</v>
      </c>
      <c r="M64" s="207"/>
      <c r="Y64" s="55">
        <v>82</v>
      </c>
      <c r="Z64" s="56">
        <v>104</v>
      </c>
      <c r="AA64" s="57" t="s">
        <v>141</v>
      </c>
      <c r="AG64" s="45"/>
      <c r="AH64" s="58"/>
      <c r="AI64" s="40" t="s">
        <v>35</v>
      </c>
      <c r="AJ64" s="45"/>
      <c r="AK64" s="45"/>
      <c r="AL64" s="45"/>
      <c r="AM64" s="45"/>
    </row>
    <row r="65" spans="2:39" ht="16.5" customHeight="1" x14ac:dyDescent="0.2">
      <c r="B65" s="137"/>
      <c r="C65" s="286"/>
      <c r="D65" s="121"/>
      <c r="E65" s="121"/>
      <c r="F65" s="121"/>
      <c r="G65" s="121"/>
      <c r="H65" s="121"/>
      <c r="I65" s="195" t="s">
        <v>72</v>
      </c>
      <c r="J65" s="30" t="str">
        <f>E46</f>
        <v>0</v>
      </c>
      <c r="K65" s="138"/>
      <c r="L65" s="36">
        <f>ST!M68</f>
        <v>0</v>
      </c>
      <c r="M65" s="208"/>
      <c r="Y65" s="57"/>
      <c r="Z65" s="57"/>
      <c r="AA65" s="57" t="s">
        <v>142</v>
      </c>
      <c r="AG65" s="45"/>
      <c r="AH65" s="58"/>
      <c r="AI65" s="40" t="s">
        <v>36</v>
      </c>
      <c r="AJ65" s="45"/>
      <c r="AK65" s="45"/>
      <c r="AL65" s="45"/>
      <c r="AM65" s="45"/>
    </row>
    <row r="66" spans="2:39" ht="16.5" customHeight="1" x14ac:dyDescent="0.2">
      <c r="B66" s="137"/>
      <c r="C66" s="291" t="s">
        <v>156</v>
      </c>
      <c r="D66" s="139" t="s">
        <v>143</v>
      </c>
      <c r="E66" s="139"/>
      <c r="F66" s="139"/>
      <c r="G66" s="139"/>
      <c r="H66" s="139"/>
      <c r="I66" s="139"/>
      <c r="J66" s="80"/>
      <c r="K66" s="80"/>
      <c r="L66" s="35">
        <f>ST!M69</f>
        <v>0</v>
      </c>
      <c r="M66" s="209"/>
      <c r="Y66" s="55">
        <v>78</v>
      </c>
      <c r="Z66" s="56">
        <v>98</v>
      </c>
      <c r="AA66" s="57" t="s">
        <v>144</v>
      </c>
      <c r="AG66" s="45"/>
      <c r="AH66" s="45"/>
      <c r="AI66" s="45" t="s">
        <v>7</v>
      </c>
      <c r="AJ66" s="45"/>
      <c r="AK66" s="45"/>
      <c r="AL66" s="45"/>
      <c r="AM66" s="45"/>
    </row>
    <row r="67" spans="2:39" ht="16.5" customHeight="1" x14ac:dyDescent="0.2">
      <c r="B67" s="137"/>
      <c r="C67" s="286"/>
      <c r="D67" s="121"/>
      <c r="E67" s="121"/>
      <c r="F67" s="121"/>
      <c r="G67" s="121"/>
      <c r="H67" s="121"/>
      <c r="I67" s="195" t="s">
        <v>72</v>
      </c>
      <c r="J67" s="30" t="str">
        <f>E46</f>
        <v>0</v>
      </c>
      <c r="K67" s="138"/>
      <c r="L67" s="36">
        <f>ST!M70</f>
        <v>0</v>
      </c>
      <c r="M67" s="208"/>
      <c r="Y67" s="55">
        <v>78</v>
      </c>
      <c r="Z67" s="56">
        <v>98</v>
      </c>
      <c r="AA67" s="57" t="s">
        <v>145</v>
      </c>
      <c r="AG67" s="45"/>
      <c r="AH67" s="45"/>
      <c r="AI67" s="45"/>
      <c r="AJ67" s="45"/>
      <c r="AK67" s="45"/>
      <c r="AL67" s="45"/>
      <c r="AM67" s="45"/>
    </row>
    <row r="68" spans="2:39" ht="16.5" customHeight="1" x14ac:dyDescent="0.2">
      <c r="B68" s="137"/>
      <c r="C68" s="291" t="s">
        <v>157</v>
      </c>
      <c r="D68" s="139" t="s">
        <v>146</v>
      </c>
      <c r="E68" s="139"/>
      <c r="F68" s="139"/>
      <c r="G68" s="139"/>
      <c r="H68" s="139"/>
      <c r="I68" s="139"/>
      <c r="J68" s="80"/>
      <c r="K68" s="80"/>
      <c r="L68" s="35">
        <f>ST!M71</f>
        <v>0</v>
      </c>
      <c r="M68" s="209"/>
      <c r="Y68" s="55">
        <v>54</v>
      </c>
      <c r="Z68" s="56">
        <v>77</v>
      </c>
      <c r="AA68" s="57" t="s">
        <v>147</v>
      </c>
    </row>
    <row r="69" spans="2:39" ht="16.5" customHeight="1" x14ac:dyDescent="0.2">
      <c r="B69" s="137"/>
      <c r="C69" s="286"/>
      <c r="D69" s="121"/>
      <c r="E69" s="121"/>
      <c r="F69" s="121"/>
      <c r="G69" s="121"/>
      <c r="H69" s="121"/>
      <c r="I69" s="195" t="s">
        <v>72</v>
      </c>
      <c r="J69" s="30" t="str">
        <f>E46</f>
        <v>0</v>
      </c>
      <c r="K69" s="138"/>
      <c r="L69" s="36">
        <f>ST!M72</f>
        <v>0</v>
      </c>
      <c r="M69" s="208"/>
      <c r="Y69" s="55">
        <v>54</v>
      </c>
      <c r="Z69" s="56">
        <v>64</v>
      </c>
      <c r="AA69" s="57" t="s">
        <v>148</v>
      </c>
    </row>
    <row r="70" spans="2:39" ht="16.5" customHeight="1" x14ac:dyDescent="0.2">
      <c r="B70" s="137"/>
      <c r="C70" s="291" t="s">
        <v>158</v>
      </c>
      <c r="D70" s="280" t="s">
        <v>37</v>
      </c>
      <c r="E70" s="280"/>
      <c r="F70" s="280"/>
      <c r="G70" s="280"/>
      <c r="H70" s="280"/>
      <c r="I70" s="280"/>
      <c r="J70" s="80"/>
      <c r="K70" s="80"/>
      <c r="L70" s="292" t="e">
        <f>ST!M73:M74</f>
        <v>#VALUE!</v>
      </c>
      <c r="M70" s="333"/>
      <c r="Y70" s="59">
        <v>54</v>
      </c>
      <c r="Z70" s="60">
        <v>64</v>
      </c>
      <c r="AA70" s="57" t="s">
        <v>149</v>
      </c>
    </row>
    <row r="71" spans="2:39" ht="16.5" customHeight="1" x14ac:dyDescent="0.2">
      <c r="B71" s="137"/>
      <c r="C71" s="286"/>
      <c r="D71" s="281"/>
      <c r="E71" s="281"/>
      <c r="F71" s="281"/>
      <c r="G71" s="281"/>
      <c r="H71" s="281"/>
      <c r="I71" s="281"/>
      <c r="J71" s="138"/>
      <c r="K71" s="138"/>
      <c r="L71" s="293">
        <f>G71*100/115.8882</f>
        <v>0</v>
      </c>
      <c r="M71" s="334"/>
    </row>
    <row r="72" spans="2:39" ht="16.5" hidden="1" customHeight="1" x14ac:dyDescent="0.2">
      <c r="B72" s="196"/>
      <c r="C72" s="298" t="s">
        <v>159</v>
      </c>
      <c r="D72" s="301" t="s">
        <v>150</v>
      </c>
      <c r="E72" s="301"/>
      <c r="F72" s="197" t="s">
        <v>151</v>
      </c>
      <c r="G72" s="197"/>
      <c r="H72" s="197"/>
      <c r="I72" s="197"/>
      <c r="J72" s="198"/>
      <c r="K72" s="198"/>
      <c r="L72" s="199"/>
      <c r="M72" s="210"/>
    </row>
    <row r="73" spans="2:39" ht="16.5" customHeight="1" x14ac:dyDescent="0.2">
      <c r="B73" s="82"/>
      <c r="C73" s="286"/>
      <c r="D73" s="281"/>
      <c r="E73" s="281"/>
      <c r="F73" s="121" t="s">
        <v>188</v>
      </c>
      <c r="G73" s="121"/>
      <c r="H73" s="121"/>
      <c r="I73" s="121"/>
      <c r="J73" s="140" t="e">
        <f>ST!#REF!</f>
        <v>#REF!</v>
      </c>
      <c r="K73" s="140"/>
      <c r="L73" s="141" t="e">
        <f>ST!#REF!</f>
        <v>#REF!</v>
      </c>
      <c r="M73" s="211"/>
    </row>
    <row r="74" spans="2:39" ht="14.25" x14ac:dyDescent="0.2">
      <c r="B74" s="33"/>
      <c r="C74" s="285" t="s">
        <v>160</v>
      </c>
      <c r="D74" s="287" t="s">
        <v>161</v>
      </c>
      <c r="E74" s="287"/>
      <c r="F74" s="287"/>
      <c r="G74" s="287"/>
      <c r="H74" s="287"/>
      <c r="I74" s="287"/>
      <c r="J74" s="332"/>
      <c r="K74" s="200"/>
      <c r="L74" s="31"/>
      <c r="M74" s="31"/>
    </row>
    <row r="75" spans="2:39" ht="14.25" x14ac:dyDescent="0.2">
      <c r="B75" s="142"/>
      <c r="C75" s="286"/>
      <c r="D75" s="287"/>
      <c r="E75" s="287"/>
      <c r="F75" s="287"/>
      <c r="G75" s="287"/>
      <c r="H75" s="287"/>
      <c r="I75" s="287"/>
      <c r="J75" s="332"/>
      <c r="K75" s="200"/>
      <c r="L75" s="31"/>
      <c r="M75" s="31"/>
    </row>
    <row r="76" spans="2:39" ht="14.25" x14ac:dyDescent="0.2">
      <c r="B76" s="142"/>
      <c r="C76" s="287" t="str">
        <f>IF(ISBLANK(ST!C77:J77),"",ST!C77:J77)</f>
        <v/>
      </c>
      <c r="D76" s="287" t="str">
        <f>IF(ST!D77=0,"",ST!D77)</f>
        <v/>
      </c>
      <c r="E76" s="287" t="str">
        <f>IF(ST!E77=0,"",ST!E77)</f>
        <v/>
      </c>
      <c r="F76" s="287" t="str">
        <f>IF(ST!F77=0,"",ST!F77)</f>
        <v/>
      </c>
      <c r="G76" s="287" t="str">
        <f>IF(ST!G77=0,"",ST!G77)</f>
        <v/>
      </c>
      <c r="H76" s="287" t="str">
        <f>IF(ST!H77=0,"",ST!H77)</f>
        <v/>
      </c>
      <c r="I76" s="287" t="str">
        <f>IF(ST!I77=0,"",ST!I77)</f>
        <v/>
      </c>
      <c r="J76" s="332" t="str">
        <f>IF(ST!J77=0,"",ST!J77)</f>
        <v xml:space="preserve">w tym: </v>
      </c>
      <c r="K76" s="201"/>
      <c r="L76" s="31" t="str">
        <f>IF(ST!M77=0,"",ST!M77)</f>
        <v/>
      </c>
      <c r="M76" s="155"/>
    </row>
    <row r="77" spans="2:39" ht="14.25" x14ac:dyDescent="0.2">
      <c r="B77" s="142"/>
      <c r="C77" s="287" t="str">
        <f>IF(ISBLANK(ST!C78:J78),"",ST!C78:J78)</f>
        <v/>
      </c>
      <c r="D77" s="287" t="str">
        <f>IF(ST!D78=0,"",ST!D78)</f>
        <v/>
      </c>
      <c r="E77" s="287" t="str">
        <f>IF(ST!E78=0,"",ST!E78)</f>
        <v/>
      </c>
      <c r="F77" s="287" t="str">
        <f>IF(ST!F78=0,"",ST!F78)</f>
        <v/>
      </c>
      <c r="G77" s="287" t="str">
        <f>IF(ST!G78=0,"",ST!G78)</f>
        <v/>
      </c>
      <c r="H77" s="287" t="str">
        <f>IF(ST!H78=0,"",ST!H78)</f>
        <v/>
      </c>
      <c r="I77" s="287" t="str">
        <f>IF(ST!I78=0,"",ST!I78)</f>
        <v/>
      </c>
      <c r="J77" s="332" t="str">
        <f>IF(ST!J78=0,"",ST!J78)</f>
        <v/>
      </c>
      <c r="K77" s="201"/>
      <c r="L77" s="31" t="str">
        <f>IF(ST!M78=0,"",ST!M78)</f>
        <v/>
      </c>
      <c r="M77" s="155"/>
    </row>
    <row r="78" spans="2:39" ht="14.25" x14ac:dyDescent="0.2">
      <c r="B78" s="142"/>
      <c r="C78" s="287" t="str">
        <f>IF(ISBLANK(ST!C79:J79),"",ST!C79:J79)</f>
        <v/>
      </c>
      <c r="D78" s="287" t="str">
        <f>IF(ST!D79=0,"",ST!D79)</f>
        <v/>
      </c>
      <c r="E78" s="287" t="str">
        <f>IF(ST!E79=0,"",ST!E79)</f>
        <v/>
      </c>
      <c r="F78" s="287" t="str">
        <f>IF(ST!F79=0,"",ST!F79)</f>
        <v/>
      </c>
      <c r="G78" s="287" t="str">
        <f>IF(ST!G79=0,"",ST!G79)</f>
        <v/>
      </c>
      <c r="H78" s="287" t="str">
        <f>IF(ST!H79=0,"",ST!H79)</f>
        <v/>
      </c>
      <c r="I78" s="287" t="str">
        <f>IF(ST!I79=0,"",ST!I79)</f>
        <v/>
      </c>
      <c r="J78" s="332" t="str">
        <f>IF(ST!J79=0,"",ST!J79)</f>
        <v/>
      </c>
      <c r="K78" s="201"/>
      <c r="L78" s="31" t="str">
        <f>IF(ST!M79=0,"",ST!M79)</f>
        <v/>
      </c>
      <c r="M78" s="155"/>
    </row>
    <row r="79" spans="2:39" ht="14.25" x14ac:dyDescent="0.2">
      <c r="B79" s="142"/>
      <c r="C79" s="287" t="str">
        <f>IF(ISBLANK(ST!C80:J80),"",ST!C80:J80)</f>
        <v/>
      </c>
      <c r="D79" s="287" t="str">
        <f>IF(ST!D80=0,"",ST!D80)</f>
        <v/>
      </c>
      <c r="E79" s="287" t="str">
        <f>IF(ST!E80=0,"",ST!E80)</f>
        <v/>
      </c>
      <c r="F79" s="287" t="str">
        <f>IF(ST!F80=0,"",ST!F80)</f>
        <v/>
      </c>
      <c r="G79" s="287" t="str">
        <f>IF(ST!G80=0,"",ST!G80)</f>
        <v/>
      </c>
      <c r="H79" s="287" t="str">
        <f>IF(ST!H80=0,"",ST!H80)</f>
        <v/>
      </c>
      <c r="I79" s="287" t="str">
        <f>IF(ST!I80=0,"",ST!I80)</f>
        <v/>
      </c>
      <c r="J79" s="332" t="str">
        <f>IF(ST!J80=0,"",ST!J80)</f>
        <v/>
      </c>
      <c r="K79" s="201"/>
      <c r="L79" s="31" t="str">
        <f>IF(ST!M80=0,"",ST!M80)</f>
        <v/>
      </c>
      <c r="M79" s="155"/>
    </row>
    <row r="80" spans="2:39" ht="14.25" x14ac:dyDescent="0.2">
      <c r="B80" s="142"/>
      <c r="C80" s="287" t="str">
        <f>IF(ISBLANK(ST!C81:J81),"",ST!C81:J81)</f>
        <v/>
      </c>
      <c r="D80" s="287" t="str">
        <f>IF(ST!D81=0,"",ST!D81)</f>
        <v/>
      </c>
      <c r="E80" s="287" t="str">
        <f>IF(ST!E81=0,"",ST!E81)</f>
        <v/>
      </c>
      <c r="F80" s="287" t="str">
        <f>IF(ST!F81=0,"",ST!F81)</f>
        <v/>
      </c>
      <c r="G80" s="287" t="str">
        <f>IF(ST!G81=0,"",ST!G81)</f>
        <v/>
      </c>
      <c r="H80" s="287" t="str">
        <f>IF(ST!H81=0,"",ST!H81)</f>
        <v/>
      </c>
      <c r="I80" s="287" t="str">
        <f>IF(ST!I81=0,"",ST!I81)</f>
        <v/>
      </c>
      <c r="J80" s="332" t="str">
        <f>IF(ST!J81=0,"",ST!J81)</f>
        <v/>
      </c>
      <c r="K80" s="201"/>
      <c r="L80" s="31" t="str">
        <f>IF(ST!M81=0,"",ST!M81)</f>
        <v/>
      </c>
      <c r="M80" s="155"/>
    </row>
    <row r="81" spans="2:13" ht="14.25" x14ac:dyDescent="0.2">
      <c r="B81" s="142"/>
      <c r="C81" s="287" t="str">
        <f>IF(ISBLANK(ST!C115:J115),"",ST!C115:J115)</f>
        <v/>
      </c>
      <c r="D81" s="287" t="str">
        <f>IF(ST!D115=0,"",ST!D115)</f>
        <v/>
      </c>
      <c r="E81" s="287" t="str">
        <f>IF(ST!E115=0,"",ST!E115)</f>
        <v/>
      </c>
      <c r="F81" s="287" t="str">
        <f>IF(ST!F115=0,"",ST!F115)</f>
        <v/>
      </c>
      <c r="G81" s="287" t="str">
        <f>IF(ST!G115=0,"",ST!G115)</f>
        <v/>
      </c>
      <c r="H81" s="287" t="str">
        <f>IF(ST!H115=0,"",ST!H115)</f>
        <v/>
      </c>
      <c r="I81" s="287" t="str">
        <f>IF(ST!I115=0,"",ST!I115)</f>
        <v/>
      </c>
      <c r="J81" s="332" t="str">
        <f>IF(ST!J115=0,"",ST!J115)</f>
        <v/>
      </c>
      <c r="K81" s="201"/>
      <c r="L81" s="31" t="str">
        <f>IF(ST!M115=0,"",ST!M115)</f>
        <v/>
      </c>
      <c r="M81" s="155"/>
    </row>
    <row r="82" spans="2:13" ht="14.25" x14ac:dyDescent="0.2">
      <c r="B82" s="142"/>
      <c r="C82" s="287" t="str">
        <f>IF(ISBLANK(ST!C116:J116),"",ST!C116:J116)</f>
        <v/>
      </c>
      <c r="D82" s="287" t="str">
        <f>IF(ST!D116=0,"",ST!D116)</f>
        <v/>
      </c>
      <c r="E82" s="287" t="str">
        <f>IF(ST!E116=0,"",ST!E116)</f>
        <v/>
      </c>
      <c r="F82" s="287" t="str">
        <f>IF(ST!F116=0,"",ST!F116)</f>
        <v/>
      </c>
      <c r="G82" s="287" t="str">
        <f>IF(ST!G116=0,"",ST!G116)</f>
        <v/>
      </c>
      <c r="H82" s="287" t="str">
        <f>IF(ST!H116=0,"",ST!H116)</f>
        <v/>
      </c>
      <c r="I82" s="287" t="str">
        <f>IF(ST!I116=0,"",ST!I116)</f>
        <v/>
      </c>
      <c r="J82" s="332" t="str">
        <f>IF(ST!J116=0,"",ST!J116)</f>
        <v/>
      </c>
      <c r="K82" s="201"/>
      <c r="L82" s="31" t="str">
        <f>IF(ST!M116=0,"",ST!M116)</f>
        <v/>
      </c>
      <c r="M82" s="155"/>
    </row>
    <row r="83" spans="2:13" ht="14.25" x14ac:dyDescent="0.2">
      <c r="B83" s="142"/>
      <c r="C83" s="287" t="str">
        <f>IF(ISBLANK(ST!C117:J117),"",ST!C117:J117)</f>
        <v/>
      </c>
      <c r="D83" s="287" t="str">
        <f>IF(ST!D117=0,"",ST!D117)</f>
        <v/>
      </c>
      <c r="E83" s="287" t="str">
        <f>IF(ST!E117=0,"",ST!E117)</f>
        <v/>
      </c>
      <c r="F83" s="287" t="str">
        <f>IF(ST!F117=0,"",ST!F117)</f>
        <v/>
      </c>
      <c r="G83" s="287" t="str">
        <f>IF(ST!G117=0,"",ST!G117)</f>
        <v/>
      </c>
      <c r="H83" s="287" t="str">
        <f>IF(ST!H117=0,"",ST!H117)</f>
        <v/>
      </c>
      <c r="I83" s="287" t="str">
        <f>IF(ST!I117=0,"",ST!I117)</f>
        <v/>
      </c>
      <c r="J83" s="332" t="str">
        <f>IF(ST!J117=0,"",ST!J117)</f>
        <v/>
      </c>
      <c r="K83" s="201"/>
      <c r="L83" s="31" t="str">
        <f>IF(ST!M117=0,"",ST!M117)</f>
        <v/>
      </c>
      <c r="M83" s="155"/>
    </row>
    <row r="84" spans="2:13" ht="14.25" x14ac:dyDescent="0.2">
      <c r="B84" s="142"/>
      <c r="C84" s="287" t="str">
        <f>IF(ISBLANK(ST!C118:J118),"",ST!C118:J118)</f>
        <v/>
      </c>
      <c r="D84" s="287" t="str">
        <f>IF(ST!D118=0,"",ST!D118)</f>
        <v/>
      </c>
      <c r="E84" s="287" t="str">
        <f>IF(ST!E118=0,"",ST!E118)</f>
        <v/>
      </c>
      <c r="F84" s="287" t="str">
        <f>IF(ST!F118=0,"",ST!F118)</f>
        <v/>
      </c>
      <c r="G84" s="287" t="str">
        <f>IF(ST!G118=0,"",ST!G118)</f>
        <v/>
      </c>
      <c r="H84" s="287" t="str">
        <f>IF(ST!H118=0,"",ST!H118)</f>
        <v/>
      </c>
      <c r="I84" s="287" t="str">
        <f>IF(ST!I118=0,"",ST!I118)</f>
        <v/>
      </c>
      <c r="J84" s="332" t="str">
        <f>IF(ST!J118=0,"",ST!J118)</f>
        <v/>
      </c>
      <c r="K84" s="201"/>
      <c r="L84" s="31" t="str">
        <f>IF(ST!M118=0,"",ST!M118)</f>
        <v/>
      </c>
      <c r="M84" s="155"/>
    </row>
    <row r="85" spans="2:13" ht="14.25" x14ac:dyDescent="0.2">
      <c r="B85" s="142"/>
      <c r="C85" s="287" t="str">
        <f>IF(ISBLANK(ST!C119:J119),"",ST!C119:J119)</f>
        <v/>
      </c>
      <c r="D85" s="287" t="str">
        <f>IF(ST!D119=0,"",ST!D119)</f>
        <v/>
      </c>
      <c r="E85" s="287" t="str">
        <f>IF(ST!E119=0,"",ST!E119)</f>
        <v/>
      </c>
      <c r="F85" s="287" t="str">
        <f>IF(ST!F119=0,"",ST!F119)</f>
        <v/>
      </c>
      <c r="G85" s="287" t="str">
        <f>IF(ST!G119=0,"",ST!G119)</f>
        <v/>
      </c>
      <c r="H85" s="287" t="str">
        <f>IF(ST!H119=0,"",ST!H119)</f>
        <v/>
      </c>
      <c r="I85" s="287" t="str">
        <f>IF(ST!I119=0,"",ST!I119)</f>
        <v/>
      </c>
      <c r="J85" s="332" t="str">
        <f>IF(ST!J119=0,"",ST!J119)</f>
        <v/>
      </c>
      <c r="K85" s="201"/>
      <c r="L85" s="31" t="str">
        <f>IF(ST!M119=0,"",ST!M119)</f>
        <v/>
      </c>
      <c r="M85" s="155"/>
    </row>
    <row r="86" spans="2:13" ht="14.25" x14ac:dyDescent="0.2">
      <c r="B86" s="142"/>
      <c r="C86" s="287" t="str">
        <f>IF(ISBLANK(ST!C120:J120),"",ST!C120:J120)</f>
        <v/>
      </c>
      <c r="D86" s="287" t="str">
        <f>IF(ST!D120=0,"",ST!D120)</f>
        <v/>
      </c>
      <c r="E86" s="287" t="str">
        <f>IF(ST!E120=0,"",ST!E120)</f>
        <v/>
      </c>
      <c r="F86" s="287" t="str">
        <f>IF(ST!F120=0,"",ST!F120)</f>
        <v/>
      </c>
      <c r="G86" s="287" t="str">
        <f>IF(ST!G120=0,"",ST!G120)</f>
        <v/>
      </c>
      <c r="H86" s="287" t="str">
        <f>IF(ST!H120=0,"",ST!H120)</f>
        <v/>
      </c>
      <c r="I86" s="287" t="str">
        <f>IF(ST!I120=0,"",ST!I120)</f>
        <v/>
      </c>
      <c r="J86" s="332" t="str">
        <f>IF(ST!J120=0,"",ST!J120)</f>
        <v/>
      </c>
      <c r="K86" s="201"/>
      <c r="L86" s="31" t="str">
        <f>IF(ST!M120=0,"",ST!M120)</f>
        <v/>
      </c>
      <c r="M86" s="155"/>
    </row>
    <row r="87" spans="2:13" ht="14.25" x14ac:dyDescent="0.2">
      <c r="B87" s="142"/>
      <c r="C87" s="287" t="str">
        <f>IF(ISBLANK(ST!C121:J121),"",ST!C121:J121)</f>
        <v/>
      </c>
      <c r="D87" s="287" t="str">
        <f>IF(ST!D121=0,"",ST!D121)</f>
        <v/>
      </c>
      <c r="E87" s="287" t="str">
        <f>IF(ST!E121=0,"",ST!E121)</f>
        <v/>
      </c>
      <c r="F87" s="287" t="str">
        <f>IF(ST!F121=0,"",ST!F121)</f>
        <v/>
      </c>
      <c r="G87" s="287" t="str">
        <f>IF(ST!G121=0,"",ST!G121)</f>
        <v/>
      </c>
      <c r="H87" s="287" t="str">
        <f>IF(ST!H121=0,"",ST!H121)</f>
        <v/>
      </c>
      <c r="I87" s="287" t="str">
        <f>IF(ST!I121=0,"",ST!I121)</f>
        <v/>
      </c>
      <c r="J87" s="332" t="str">
        <f>IF(ST!J121=0,"",ST!J121)</f>
        <v/>
      </c>
      <c r="K87" s="201"/>
      <c r="L87" s="31" t="str">
        <f>IF(ST!M121=0,"",ST!M121)</f>
        <v/>
      </c>
      <c r="M87" s="155"/>
    </row>
    <row r="88" spans="2:13" ht="14.25" x14ac:dyDescent="0.2">
      <c r="B88" s="142"/>
      <c r="C88" s="287" t="str">
        <f>IF(ISBLANK(ST!C122:J122),"",ST!C122:J122)</f>
        <v/>
      </c>
      <c r="D88" s="287" t="str">
        <f>IF(ST!D122=0,"",ST!D122)</f>
        <v/>
      </c>
      <c r="E88" s="287" t="str">
        <f>IF(ST!E122=0,"",ST!E122)</f>
        <v/>
      </c>
      <c r="F88" s="287" t="str">
        <f>IF(ST!F122=0,"",ST!F122)</f>
        <v/>
      </c>
      <c r="G88" s="287" t="str">
        <f>IF(ST!G122=0,"",ST!G122)</f>
        <v/>
      </c>
      <c r="H88" s="287" t="str">
        <f>IF(ST!H122=0,"",ST!H122)</f>
        <v/>
      </c>
      <c r="I88" s="287" t="str">
        <f>IF(ST!I122=0,"",ST!I122)</f>
        <v/>
      </c>
      <c r="J88" s="332" t="str">
        <f>IF(ST!J122=0,"",ST!J122)</f>
        <v/>
      </c>
      <c r="K88" s="201"/>
      <c r="L88" s="31" t="str">
        <f>IF(ST!M122=0,"",ST!M122)</f>
        <v/>
      </c>
      <c r="M88" s="155"/>
    </row>
    <row r="89" spans="2:13" ht="14.25" x14ac:dyDescent="0.2">
      <c r="B89" s="142"/>
      <c r="C89" s="287" t="str">
        <f>IF(ISBLANK(ST!C123:J123),"",ST!C123:J123)</f>
        <v/>
      </c>
      <c r="D89" s="287" t="str">
        <f>IF(ST!D123=0,"",ST!D123)</f>
        <v/>
      </c>
      <c r="E89" s="287" t="str">
        <f>IF(ST!E123=0,"",ST!E123)</f>
        <v/>
      </c>
      <c r="F89" s="287" t="str">
        <f>IF(ST!F123=0,"",ST!F123)</f>
        <v/>
      </c>
      <c r="G89" s="287" t="str">
        <f>IF(ST!G123=0,"",ST!G123)</f>
        <v/>
      </c>
      <c r="H89" s="287" t="str">
        <f>IF(ST!H123=0,"",ST!H123)</f>
        <v/>
      </c>
      <c r="I89" s="287" t="str">
        <f>IF(ST!I123=0,"",ST!I123)</f>
        <v/>
      </c>
      <c r="J89" s="332" t="str">
        <f>IF(ST!J123=0,"",ST!J123)</f>
        <v/>
      </c>
      <c r="K89" s="201"/>
      <c r="L89" s="31" t="str">
        <f>IF(ST!M123=0,"",ST!M123)</f>
        <v/>
      </c>
      <c r="M89" s="155"/>
    </row>
    <row r="90" spans="2:13" ht="14.25" x14ac:dyDescent="0.2">
      <c r="B90" s="143"/>
      <c r="C90" s="330" t="str">
        <f>IF(ISBLANK(ST!C124:J124),"",ST!C124:J124)</f>
        <v/>
      </c>
      <c r="D90" s="330" t="str">
        <f>IF(ST!D124=0,"",ST!D124)</f>
        <v/>
      </c>
      <c r="E90" s="330" t="str">
        <f>IF(ST!E124=0,"",ST!E124)</f>
        <v/>
      </c>
      <c r="F90" s="330" t="str">
        <f>IF(ST!F124=0,"",ST!F124)</f>
        <v/>
      </c>
      <c r="G90" s="330" t="str">
        <f>IF(ST!G124=0,"",ST!G124)</f>
        <v/>
      </c>
      <c r="H90" s="330" t="str">
        <f>IF(ST!H124=0,"",ST!H124)</f>
        <v/>
      </c>
      <c r="I90" s="330" t="str">
        <f>IF(ST!I124=0,"",ST!I124)</f>
        <v/>
      </c>
      <c r="J90" s="331" t="str">
        <f>IF(ST!J124=0,"",ST!J124)</f>
        <v/>
      </c>
      <c r="K90" s="202"/>
      <c r="L90" s="203" t="str">
        <f>IF(ST!M124=0,"",ST!M124)</f>
        <v/>
      </c>
      <c r="M90" s="156"/>
    </row>
    <row r="91" spans="2:13" ht="18" customHeight="1" x14ac:dyDescent="0.2">
      <c r="B91" s="82"/>
      <c r="C91" s="79"/>
      <c r="D91" s="79"/>
      <c r="E91" s="79"/>
      <c r="F91" s="79"/>
      <c r="G91" s="79"/>
      <c r="H91" s="79"/>
      <c r="I91" s="79"/>
      <c r="J91" s="144"/>
      <c r="K91" s="144"/>
      <c r="L91" s="145"/>
      <c r="M91" s="145"/>
    </row>
    <row r="92" spans="2:13" ht="15.75" x14ac:dyDescent="0.25">
      <c r="B92" s="100"/>
      <c r="C92" s="79"/>
      <c r="D92" s="79"/>
      <c r="E92" s="79"/>
      <c r="F92" s="79"/>
      <c r="G92" s="79"/>
      <c r="H92" s="79"/>
      <c r="I92" s="79"/>
      <c r="J92" s="76" t="s">
        <v>47</v>
      </c>
      <c r="K92" s="76"/>
      <c r="L92" s="146" t="e">
        <f>L45+L46+L56+L57+L60+L61+L62+L64+L65+L66+L67+L68+L69+L70+L72+L73+SUM(L76:L90)</f>
        <v>#VALUE!</v>
      </c>
      <c r="M92" s="146">
        <f>M45+M46+M56+M57+M60+M61+M62+M64+M65+M66+M67+M68+M69+M70+M72+M73+SUM(M76:M90)</f>
        <v>0</v>
      </c>
    </row>
    <row r="93" spans="2:13" ht="15" thickBot="1" x14ac:dyDescent="0.25">
      <c r="B93" s="82"/>
      <c r="C93" s="79"/>
      <c r="D93" s="79"/>
      <c r="E93" s="79"/>
      <c r="F93" s="79"/>
      <c r="G93" s="79"/>
      <c r="H93" s="79"/>
      <c r="I93" s="79"/>
      <c r="J93" s="79"/>
      <c r="K93" s="79"/>
      <c r="L93" s="31"/>
      <c r="M93" s="31"/>
    </row>
    <row r="94" spans="2:13" s="41" customFormat="1" ht="21.95" customHeight="1" thickTop="1" thickBot="1" x14ac:dyDescent="0.25">
      <c r="B94" s="225" t="str">
        <f>ST!B131</f>
        <v>III. SALDO KOŃCOWE STUDIÓW / KURSU  (obowiązkowe minimalne saldo końcowe przy uruchomieniu, minimum 15% przychodów) :</v>
      </c>
      <c r="C94" s="88"/>
      <c r="D94" s="88"/>
      <c r="E94" s="88"/>
      <c r="F94" s="88"/>
      <c r="G94" s="88"/>
      <c r="H94" s="88"/>
      <c r="I94" s="88"/>
      <c r="J94" s="88"/>
      <c r="K94" s="88"/>
      <c r="L94" s="147" t="e">
        <f>L27-L92</f>
        <v>#VALUE!</v>
      </c>
      <c r="M94" s="147">
        <f>M27-M92</f>
        <v>0</v>
      </c>
    </row>
    <row r="95" spans="2:13" ht="15" thickTop="1" x14ac:dyDescent="0.2">
      <c r="B95" s="82"/>
      <c r="C95" s="79"/>
      <c r="D95" s="79"/>
      <c r="E95" s="79"/>
      <c r="F95" s="79"/>
      <c r="G95" s="79"/>
      <c r="H95" s="79"/>
      <c r="I95" s="79"/>
      <c r="J95" s="163"/>
      <c r="K95" s="163"/>
      <c r="L95" s="163"/>
      <c r="M95" s="164"/>
    </row>
    <row r="96" spans="2:13" ht="14.25" x14ac:dyDescent="0.2">
      <c r="B96" s="82"/>
      <c r="C96" s="79"/>
      <c r="D96" s="79"/>
      <c r="E96" s="79"/>
      <c r="F96" s="79"/>
      <c r="G96" s="79"/>
      <c r="H96" s="79"/>
      <c r="I96" s="79"/>
      <c r="J96" s="79"/>
      <c r="K96" s="79"/>
      <c r="L96" s="159"/>
      <c r="M96" s="148"/>
    </row>
    <row r="97" spans="2:13" ht="14.25" x14ac:dyDescent="0.2">
      <c r="B97" s="82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80"/>
    </row>
    <row r="98" spans="2:13" ht="14.25" x14ac:dyDescent="0.2">
      <c r="B98" s="33"/>
      <c r="C98" s="149"/>
      <c r="D98" s="149"/>
      <c r="E98" s="149"/>
      <c r="F98" s="79"/>
      <c r="G98" s="79"/>
      <c r="H98" s="79"/>
      <c r="I98" s="79"/>
      <c r="J98" s="79"/>
      <c r="K98" s="79"/>
      <c r="L98" s="79"/>
      <c r="M98" s="80"/>
    </row>
    <row r="99" spans="2:13" ht="14.25" x14ac:dyDescent="0.2">
      <c r="B99" s="82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80"/>
    </row>
    <row r="100" spans="2:13" ht="14.25" x14ac:dyDescent="0.2">
      <c r="B100" s="150"/>
      <c r="C100" s="128"/>
      <c r="D100" s="128"/>
      <c r="E100" s="128"/>
      <c r="F100" s="79"/>
      <c r="G100" s="79"/>
      <c r="H100" s="79"/>
      <c r="I100" s="79"/>
      <c r="J100" s="128"/>
      <c r="K100" s="128"/>
      <c r="L100" s="128"/>
      <c r="M100" s="138"/>
    </row>
    <row r="101" spans="2:13" ht="14.25" x14ac:dyDescent="0.2">
      <c r="B101" s="307" t="s">
        <v>152</v>
      </c>
      <c r="C101" s="308"/>
      <c r="D101" s="308"/>
      <c r="E101" s="308"/>
      <c r="F101" s="151"/>
      <c r="G101" s="151"/>
      <c r="H101" s="151"/>
      <c r="I101" s="151"/>
      <c r="J101" s="304" t="s">
        <v>48</v>
      </c>
      <c r="K101" s="304"/>
      <c r="L101" s="304"/>
      <c r="M101" s="69"/>
    </row>
    <row r="102" spans="2:13" ht="14.25" x14ac:dyDescent="0.2">
      <c r="B102" s="307" t="s">
        <v>153</v>
      </c>
      <c r="C102" s="308"/>
      <c r="D102" s="308"/>
      <c r="E102" s="308"/>
      <c r="F102" s="79"/>
      <c r="G102" s="79"/>
      <c r="H102" s="79"/>
      <c r="I102" s="79"/>
      <c r="J102" s="79"/>
      <c r="K102" s="79"/>
      <c r="L102" s="79"/>
      <c r="M102" s="80"/>
    </row>
    <row r="103" spans="2:13" ht="14.25" x14ac:dyDescent="0.2">
      <c r="B103" s="82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80"/>
    </row>
    <row r="104" spans="2:13" ht="14.25" x14ac:dyDescent="0.2">
      <c r="B104" s="82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80"/>
    </row>
    <row r="105" spans="2:13" ht="14.25" x14ac:dyDescent="0.2">
      <c r="B105" s="82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80"/>
    </row>
    <row r="106" spans="2:13" ht="14.25" x14ac:dyDescent="0.2">
      <c r="B106" s="150"/>
      <c r="C106" s="128"/>
      <c r="D106" s="128"/>
      <c r="E106" s="128"/>
      <c r="F106" s="79"/>
      <c r="G106" s="79"/>
      <c r="H106" s="79"/>
      <c r="I106" s="79"/>
      <c r="J106" s="128"/>
      <c r="K106" s="128"/>
      <c r="L106" s="128"/>
      <c r="M106" s="138"/>
    </row>
    <row r="107" spans="2:13" ht="14.25" x14ac:dyDescent="0.2">
      <c r="B107" s="303" t="s">
        <v>49</v>
      </c>
      <c r="C107" s="304"/>
      <c r="D107" s="304"/>
      <c r="E107" s="304"/>
      <c r="F107" s="151"/>
      <c r="G107" s="151"/>
      <c r="H107" s="151"/>
      <c r="I107" s="151"/>
      <c r="J107" s="304" t="s">
        <v>192</v>
      </c>
      <c r="K107" s="304"/>
      <c r="L107" s="304"/>
      <c r="M107" s="309"/>
    </row>
    <row r="108" spans="2:13" ht="15" thickBot="1" x14ac:dyDescent="0.25">
      <c r="B108" s="10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3"/>
    </row>
    <row r="109" spans="2:13" ht="240.75" customHeight="1" thickTop="1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2:13" ht="14.25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2:13" ht="14.25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2:13" ht="14.25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2:13" ht="14.25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2:13" ht="14.25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2:13" ht="14.25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2:13" ht="14.25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2:13" ht="14.25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2:13" ht="14.25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2:13" ht="14.25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2:13" ht="14.25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2:13" ht="14.25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2:13" ht="14.25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2:13" ht="14.25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</row>
    <row r="124" spans="2:13" ht="14.25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  <row r="125" spans="2:13" ht="14.25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</row>
    <row r="126" spans="2:13" ht="14.25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2:13" ht="14.25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2:13" ht="14.25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2:13" ht="14.25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2:13" ht="14.25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2:13" ht="14.25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  <row r="132" spans="2:13" ht="14.25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2:13" ht="14.25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</row>
    <row r="134" spans="2:13" ht="14.25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</row>
    <row r="135" spans="2:13" ht="14.25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</row>
    <row r="136" spans="2:13" ht="14.25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</row>
    <row r="137" spans="2:13" ht="14.25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</row>
    <row r="138" spans="2:13" ht="14.25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</row>
    <row r="139" spans="2:13" ht="14.25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</row>
    <row r="140" spans="2:13" ht="14.25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</row>
    <row r="141" spans="2:13" ht="14.25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</row>
    <row r="142" spans="2:13" ht="14.25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</row>
    <row r="143" spans="2:13" ht="14.25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4" spans="2:13" ht="14.25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</row>
    <row r="145" spans="2:13" ht="14.25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</row>
  </sheetData>
  <sheetProtection selectLockedCells="1"/>
  <mergeCells count="60">
    <mergeCell ref="J107:M107"/>
    <mergeCell ref="J16:L16"/>
    <mergeCell ref="E5:I5"/>
    <mergeCell ref="B10:E10"/>
    <mergeCell ref="F10:L10"/>
    <mergeCell ref="B11:E11"/>
    <mergeCell ref="F11:L11"/>
    <mergeCell ref="B12:E12"/>
    <mergeCell ref="F12:L12"/>
    <mergeCell ref="B13:E13"/>
    <mergeCell ref="G13:I13"/>
    <mergeCell ref="B14:D14"/>
    <mergeCell ref="G14:H14"/>
    <mergeCell ref="B16:D16"/>
    <mergeCell ref="J17:L17"/>
    <mergeCell ref="J18:L18"/>
    <mergeCell ref="C24:E24"/>
    <mergeCell ref="C25:E25"/>
    <mergeCell ref="F32:G32"/>
    <mergeCell ref="H32:I32"/>
    <mergeCell ref="C66:C67"/>
    <mergeCell ref="C33:D33"/>
    <mergeCell ref="C46:D46"/>
    <mergeCell ref="F46:J46"/>
    <mergeCell ref="F50:G50"/>
    <mergeCell ref="H50:I50"/>
    <mergeCell ref="C51:E51"/>
    <mergeCell ref="C57:D57"/>
    <mergeCell ref="F57:J57"/>
    <mergeCell ref="D60:E60"/>
    <mergeCell ref="D62:E62"/>
    <mergeCell ref="C64:C65"/>
    <mergeCell ref="C68:C69"/>
    <mergeCell ref="C70:C71"/>
    <mergeCell ref="D70:I71"/>
    <mergeCell ref="L70:L71"/>
    <mergeCell ref="C72:C73"/>
    <mergeCell ref="D72:E73"/>
    <mergeCell ref="B102:E102"/>
    <mergeCell ref="B107:E107"/>
    <mergeCell ref="M70:M71"/>
    <mergeCell ref="C74:C75"/>
    <mergeCell ref="D74:J75"/>
    <mergeCell ref="C76:J76"/>
    <mergeCell ref="C77:J77"/>
    <mergeCell ref="C89:J89"/>
    <mergeCell ref="B101:E101"/>
    <mergeCell ref="J101:L101"/>
    <mergeCell ref="C78:J78"/>
    <mergeCell ref="C79:J79"/>
    <mergeCell ref="C80:J80"/>
    <mergeCell ref="C81:J81"/>
    <mergeCell ref="C82:J82"/>
    <mergeCell ref="C88:J88"/>
    <mergeCell ref="C90:J90"/>
    <mergeCell ref="C83:J83"/>
    <mergeCell ref="C84:J84"/>
    <mergeCell ref="C85:J85"/>
    <mergeCell ref="C86:J86"/>
    <mergeCell ref="C87:J87"/>
  </mergeCells>
  <conditionalFormatting sqref="E16">
    <cfRule type="cellIs" dxfId="1" priority="3" stopIfTrue="1" operator="notEqual">
      <formula>$F$34+$F$35+$F$36+$F$37+$F$38+$F$39+$F$40+$F$41+$F$42+$F$43+$F$44+$H$34+$H$35+$H$36+$H$37+$H$38+$H$39+$H$40+$H$41+$H$42+$H$43+$H$44+$F$52+$F$53+$F$54+$F$55+$G$52+$G$53+$G$54+$G$55</formula>
    </cfRule>
  </conditionalFormatting>
  <conditionalFormatting sqref="L94:M94">
    <cfRule type="cellIs" dxfId="0" priority="1" operator="lessThan">
      <formula>ROUND($L$27*15%,0)</formula>
    </cfRule>
  </conditionalFormatting>
  <dataValidations count="8">
    <dataValidation type="list" allowBlank="1" showInputMessage="1" showErrorMessage="1" sqref="L7" xr:uid="{00000000-0002-0000-0100-000000000000}">
      <formula1>anek</formula1>
    </dataValidation>
    <dataValidation type="list" allowBlank="1" showInputMessage="1" showErrorMessage="1" sqref="F14 J14 H7" xr:uid="{00000000-0002-0000-0100-000001000000}">
      <formula1>rok</formula1>
    </dataValidation>
    <dataValidation type="custom" allowBlank="1" showInputMessage="1" showErrorMessage="1" sqref="L94:M94" xr:uid="{00000000-0002-0000-0100-000002000000}">
      <formula1>"&lt;=zaokr(K26*15%;0)"</formula1>
    </dataValidation>
    <dataValidation type="list" allowBlank="1" showInputMessage="1" showErrorMessage="1" sqref="F12:L12" xr:uid="{00000000-0002-0000-0100-000003000000}">
      <formula1>wydz</formula1>
    </dataValidation>
    <dataValidation type="list" allowBlank="1" showInputMessage="1" showErrorMessage="1" sqref="F11:L11" xr:uid="{00000000-0002-0000-0100-000004000000}">
      <formula1>ins</formula1>
    </dataValidation>
    <dataValidation type="list" allowBlank="1" showInputMessage="1" showErrorMessage="1" sqref="E5:I5" xr:uid="{00000000-0002-0000-0100-000005000000}">
      <formula1>typ</formula1>
    </dataValidation>
    <dataValidation type="list" allowBlank="1" showInputMessage="1" showErrorMessage="1" sqref="K14" xr:uid="{00000000-0002-0000-0100-000006000000}">
      <formula1>$Z$17:$Z$27</formula1>
    </dataValidation>
    <dataValidation type="list" allowBlank="1" showInputMessage="1" sqref="I14 E14" xr:uid="{00000000-0002-0000-0100-000007000000}">
      <formula1>mc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2" orientation="portrait" horizontalDpi="4294967295" r:id="rId1"/>
  <headerFooter alignWithMargins="0"/>
  <rowBreaks count="1" manualBreakCount="1">
    <brk id="58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03"/>
  <sheetViews>
    <sheetView workbookViewId="0">
      <selection activeCell="M75" sqref="M75:M76"/>
    </sheetView>
  </sheetViews>
  <sheetFormatPr defaultRowHeight="12.75" x14ac:dyDescent="0.2"/>
  <cols>
    <col min="1" max="1" width="6.42578125" bestFit="1" customWidth="1"/>
    <col min="2" max="2" width="34.85546875" customWidth="1"/>
    <col min="3" max="3" width="26.7109375" customWidth="1"/>
    <col min="4" max="4" width="94.5703125" customWidth="1"/>
  </cols>
  <sheetData>
    <row r="4" spans="1:4" x14ac:dyDescent="0.2">
      <c r="A4" s="3" t="s">
        <v>162</v>
      </c>
      <c r="B4" s="39" t="s">
        <v>165</v>
      </c>
      <c r="C4" s="39" t="s">
        <v>166</v>
      </c>
      <c r="D4" s="39" t="s">
        <v>167</v>
      </c>
    </row>
    <row r="5" spans="1:4" hidden="1" x14ac:dyDescent="0.2">
      <c r="A5" s="39"/>
      <c r="B5" s="39"/>
      <c r="C5" s="39"/>
      <c r="D5" s="39"/>
    </row>
    <row r="6" spans="1:4" x14ac:dyDescent="0.2">
      <c r="A6" s="3" t="str">
        <f>IF(ISBLANK(B6),"",A5+1)</f>
        <v/>
      </c>
      <c r="B6" s="212"/>
      <c r="C6" s="212"/>
      <c r="D6" s="213"/>
    </row>
    <row r="7" spans="1:4" x14ac:dyDescent="0.2">
      <c r="A7" s="3" t="str">
        <f t="shared" ref="A7:A69" si="0">IF(ISBLANK(B7),"",A6+1)</f>
        <v/>
      </c>
      <c r="B7" s="212"/>
      <c r="C7" s="212"/>
      <c r="D7" s="213"/>
    </row>
    <row r="8" spans="1:4" x14ac:dyDescent="0.2">
      <c r="A8" s="3" t="str">
        <f t="shared" si="0"/>
        <v/>
      </c>
      <c r="B8" s="212"/>
      <c r="C8" s="212"/>
      <c r="D8" s="213"/>
    </row>
    <row r="9" spans="1:4" x14ac:dyDescent="0.2">
      <c r="A9" s="3" t="str">
        <f t="shared" si="0"/>
        <v/>
      </c>
      <c r="B9" s="212"/>
      <c r="C9" s="212"/>
      <c r="D9" s="213"/>
    </row>
    <row r="10" spans="1:4" x14ac:dyDescent="0.2">
      <c r="A10" s="3" t="str">
        <f t="shared" si="0"/>
        <v/>
      </c>
      <c r="B10" s="212"/>
      <c r="C10" s="212"/>
      <c r="D10" s="213"/>
    </row>
    <row r="11" spans="1:4" x14ac:dyDescent="0.2">
      <c r="A11" s="3" t="str">
        <f t="shared" si="0"/>
        <v/>
      </c>
      <c r="B11" s="212"/>
      <c r="C11" s="212"/>
      <c r="D11" s="213"/>
    </row>
    <row r="12" spans="1:4" x14ac:dyDescent="0.2">
      <c r="A12" s="3" t="str">
        <f t="shared" si="0"/>
        <v/>
      </c>
      <c r="B12" s="212"/>
      <c r="C12" s="212"/>
      <c r="D12" s="213"/>
    </row>
    <row r="13" spans="1:4" x14ac:dyDescent="0.2">
      <c r="A13" s="3" t="str">
        <f t="shared" si="0"/>
        <v/>
      </c>
      <c r="B13" s="212"/>
      <c r="C13" s="212"/>
      <c r="D13" s="213"/>
    </row>
    <row r="14" spans="1:4" x14ac:dyDescent="0.2">
      <c r="A14" s="3" t="str">
        <f t="shared" si="0"/>
        <v/>
      </c>
      <c r="B14" s="212"/>
      <c r="C14" s="212"/>
      <c r="D14" s="213"/>
    </row>
    <row r="15" spans="1:4" x14ac:dyDescent="0.2">
      <c r="A15" s="3" t="str">
        <f t="shared" si="0"/>
        <v/>
      </c>
      <c r="B15" s="212"/>
      <c r="C15" s="212"/>
      <c r="D15" s="213"/>
    </row>
    <row r="16" spans="1:4" x14ac:dyDescent="0.2">
      <c r="A16" s="3" t="str">
        <f t="shared" si="0"/>
        <v/>
      </c>
      <c r="B16" s="212"/>
      <c r="C16" s="212"/>
      <c r="D16" s="213"/>
    </row>
    <row r="17" spans="1:4" x14ac:dyDescent="0.2">
      <c r="A17" s="3" t="str">
        <f t="shared" si="0"/>
        <v/>
      </c>
      <c r="B17" s="212"/>
      <c r="C17" s="212"/>
      <c r="D17" s="213"/>
    </row>
    <row r="18" spans="1:4" x14ac:dyDescent="0.2">
      <c r="A18" s="3" t="str">
        <f t="shared" si="0"/>
        <v/>
      </c>
      <c r="B18" s="212"/>
      <c r="C18" s="212"/>
      <c r="D18" s="213"/>
    </row>
    <row r="19" spans="1:4" x14ac:dyDescent="0.2">
      <c r="A19" s="3" t="str">
        <f t="shared" si="0"/>
        <v/>
      </c>
      <c r="B19" s="212"/>
      <c r="C19" s="212"/>
      <c r="D19" s="213"/>
    </row>
    <row r="20" spans="1:4" x14ac:dyDescent="0.2">
      <c r="A20" s="3" t="str">
        <f t="shared" si="0"/>
        <v/>
      </c>
      <c r="B20" s="212"/>
      <c r="C20" s="212"/>
      <c r="D20" s="213"/>
    </row>
    <row r="21" spans="1:4" x14ac:dyDescent="0.2">
      <c r="A21" s="3" t="str">
        <f t="shared" si="0"/>
        <v/>
      </c>
      <c r="B21" s="212"/>
      <c r="C21" s="212"/>
      <c r="D21" s="213"/>
    </row>
    <row r="22" spans="1:4" x14ac:dyDescent="0.2">
      <c r="A22" s="3" t="str">
        <f t="shared" si="0"/>
        <v/>
      </c>
      <c r="B22" s="212"/>
      <c r="C22" s="212"/>
      <c r="D22" s="213"/>
    </row>
    <row r="23" spans="1:4" x14ac:dyDescent="0.2">
      <c r="A23" s="3" t="str">
        <f t="shared" si="0"/>
        <v/>
      </c>
      <c r="B23" s="212"/>
      <c r="C23" s="212"/>
      <c r="D23" s="213"/>
    </row>
    <row r="24" spans="1:4" x14ac:dyDescent="0.2">
      <c r="A24" s="3" t="str">
        <f t="shared" si="0"/>
        <v/>
      </c>
      <c r="B24" s="212"/>
      <c r="C24" s="212"/>
      <c r="D24" s="213"/>
    </row>
    <row r="25" spans="1:4" x14ac:dyDescent="0.2">
      <c r="A25" s="3" t="str">
        <f t="shared" si="0"/>
        <v/>
      </c>
      <c r="B25" s="212"/>
      <c r="C25" s="212"/>
      <c r="D25" s="213"/>
    </row>
    <row r="26" spans="1:4" x14ac:dyDescent="0.2">
      <c r="A26" s="3" t="str">
        <f t="shared" si="0"/>
        <v/>
      </c>
      <c r="B26" s="212"/>
      <c r="C26" s="212"/>
      <c r="D26" s="213"/>
    </row>
    <row r="27" spans="1:4" x14ac:dyDescent="0.2">
      <c r="A27" s="3" t="str">
        <f t="shared" si="0"/>
        <v/>
      </c>
      <c r="B27" s="212"/>
      <c r="C27" s="212"/>
      <c r="D27" s="213"/>
    </row>
    <row r="28" spans="1:4" x14ac:dyDescent="0.2">
      <c r="A28" s="3" t="str">
        <f t="shared" si="0"/>
        <v/>
      </c>
      <c r="B28" s="212"/>
      <c r="C28" s="212"/>
      <c r="D28" s="213"/>
    </row>
    <row r="29" spans="1:4" x14ac:dyDescent="0.2">
      <c r="A29" s="3" t="str">
        <f t="shared" si="0"/>
        <v/>
      </c>
      <c r="B29" s="212"/>
      <c r="C29" s="212"/>
      <c r="D29" s="213"/>
    </row>
    <row r="30" spans="1:4" x14ac:dyDescent="0.2">
      <c r="A30" s="3" t="str">
        <f t="shared" si="0"/>
        <v/>
      </c>
      <c r="B30" s="212"/>
      <c r="C30" s="212"/>
      <c r="D30" s="213"/>
    </row>
    <row r="31" spans="1:4" x14ac:dyDescent="0.2">
      <c r="A31" s="3" t="str">
        <f t="shared" si="0"/>
        <v/>
      </c>
      <c r="B31" s="212"/>
      <c r="C31" s="212"/>
      <c r="D31" s="213"/>
    </row>
    <row r="32" spans="1:4" x14ac:dyDescent="0.2">
      <c r="A32" s="3" t="str">
        <f t="shared" si="0"/>
        <v/>
      </c>
      <c r="B32" s="212"/>
      <c r="C32" s="212"/>
      <c r="D32" s="213"/>
    </row>
    <row r="33" spans="1:4" x14ac:dyDescent="0.2">
      <c r="A33" s="3" t="str">
        <f t="shared" si="0"/>
        <v/>
      </c>
      <c r="B33" s="212"/>
      <c r="C33" s="212"/>
      <c r="D33" s="213"/>
    </row>
    <row r="34" spans="1:4" x14ac:dyDescent="0.2">
      <c r="A34" s="3" t="str">
        <f t="shared" si="0"/>
        <v/>
      </c>
      <c r="B34" s="212"/>
      <c r="C34" s="212"/>
      <c r="D34" s="213"/>
    </row>
    <row r="35" spans="1:4" x14ac:dyDescent="0.2">
      <c r="A35" s="3" t="str">
        <f t="shared" si="0"/>
        <v/>
      </c>
      <c r="B35" s="212"/>
      <c r="C35" s="212"/>
      <c r="D35" s="213"/>
    </row>
    <row r="36" spans="1:4" x14ac:dyDescent="0.2">
      <c r="A36" s="3" t="str">
        <f t="shared" si="0"/>
        <v/>
      </c>
      <c r="B36" s="212"/>
      <c r="C36" s="212"/>
      <c r="D36" s="213"/>
    </row>
    <row r="37" spans="1:4" x14ac:dyDescent="0.2">
      <c r="A37" s="3" t="str">
        <f t="shared" si="0"/>
        <v/>
      </c>
      <c r="B37" s="212"/>
      <c r="C37" s="212"/>
      <c r="D37" s="213"/>
    </row>
    <row r="38" spans="1:4" x14ac:dyDescent="0.2">
      <c r="A38" s="3" t="str">
        <f t="shared" si="0"/>
        <v/>
      </c>
      <c r="B38" s="212"/>
      <c r="C38" s="212"/>
      <c r="D38" s="213"/>
    </row>
    <row r="39" spans="1:4" x14ac:dyDescent="0.2">
      <c r="A39" s="3" t="str">
        <f t="shared" si="0"/>
        <v/>
      </c>
      <c r="B39" s="212"/>
      <c r="C39" s="212"/>
      <c r="D39" s="213"/>
    </row>
    <row r="40" spans="1:4" x14ac:dyDescent="0.2">
      <c r="A40" s="3" t="str">
        <f t="shared" si="0"/>
        <v/>
      </c>
      <c r="B40" s="212"/>
      <c r="C40" s="212"/>
      <c r="D40" s="213"/>
    </row>
    <row r="41" spans="1:4" x14ac:dyDescent="0.2">
      <c r="A41" s="3" t="str">
        <f t="shared" si="0"/>
        <v/>
      </c>
      <c r="B41" s="212"/>
      <c r="C41" s="212"/>
      <c r="D41" s="213"/>
    </row>
    <row r="42" spans="1:4" x14ac:dyDescent="0.2">
      <c r="A42" s="3" t="str">
        <f t="shared" si="0"/>
        <v/>
      </c>
      <c r="B42" s="212"/>
      <c r="C42" s="212"/>
      <c r="D42" s="213"/>
    </row>
    <row r="43" spans="1:4" x14ac:dyDescent="0.2">
      <c r="A43" s="3" t="str">
        <f t="shared" si="0"/>
        <v/>
      </c>
      <c r="B43" s="212"/>
      <c r="C43" s="212"/>
      <c r="D43" s="213"/>
    </row>
    <row r="44" spans="1:4" x14ac:dyDescent="0.2">
      <c r="A44" s="3" t="str">
        <f t="shared" si="0"/>
        <v/>
      </c>
      <c r="B44" s="212"/>
      <c r="C44" s="212"/>
      <c r="D44" s="213"/>
    </row>
    <row r="45" spans="1:4" x14ac:dyDescent="0.2">
      <c r="A45" s="3" t="str">
        <f t="shared" si="0"/>
        <v/>
      </c>
      <c r="B45" s="212"/>
      <c r="C45" s="212"/>
      <c r="D45" s="213"/>
    </row>
    <row r="46" spans="1:4" x14ac:dyDescent="0.2">
      <c r="A46" s="3" t="str">
        <f t="shared" si="0"/>
        <v/>
      </c>
      <c r="B46" s="212"/>
      <c r="C46" s="212"/>
      <c r="D46" s="213"/>
    </row>
    <row r="47" spans="1:4" x14ac:dyDescent="0.2">
      <c r="A47" s="3" t="str">
        <f t="shared" si="0"/>
        <v/>
      </c>
      <c r="B47" s="212"/>
      <c r="C47" s="212"/>
      <c r="D47" s="213"/>
    </row>
    <row r="48" spans="1:4" x14ac:dyDescent="0.2">
      <c r="A48" s="3" t="str">
        <f t="shared" si="0"/>
        <v/>
      </c>
      <c r="B48" s="212"/>
      <c r="C48" s="212"/>
      <c r="D48" s="213"/>
    </row>
    <row r="49" spans="1:4" x14ac:dyDescent="0.2">
      <c r="A49" s="3" t="str">
        <f t="shared" si="0"/>
        <v/>
      </c>
      <c r="B49" s="212"/>
      <c r="C49" s="212"/>
      <c r="D49" s="213"/>
    </row>
    <row r="50" spans="1:4" x14ac:dyDescent="0.2">
      <c r="A50" s="3" t="str">
        <f t="shared" si="0"/>
        <v/>
      </c>
      <c r="B50" s="212"/>
      <c r="C50" s="212"/>
      <c r="D50" s="213"/>
    </row>
    <row r="51" spans="1:4" x14ac:dyDescent="0.2">
      <c r="A51" s="3" t="str">
        <f t="shared" si="0"/>
        <v/>
      </c>
      <c r="B51" s="212"/>
      <c r="C51" s="212"/>
      <c r="D51" s="213"/>
    </row>
    <row r="52" spans="1:4" x14ac:dyDescent="0.2">
      <c r="A52" s="3" t="str">
        <f t="shared" si="0"/>
        <v/>
      </c>
      <c r="B52" s="212"/>
      <c r="C52" s="212"/>
      <c r="D52" s="213"/>
    </row>
    <row r="53" spans="1:4" x14ac:dyDescent="0.2">
      <c r="A53" s="3" t="str">
        <f t="shared" si="0"/>
        <v/>
      </c>
      <c r="B53" s="212"/>
      <c r="C53" s="212"/>
      <c r="D53" s="213"/>
    </row>
    <row r="54" spans="1:4" x14ac:dyDescent="0.2">
      <c r="A54" s="3" t="str">
        <f t="shared" si="0"/>
        <v/>
      </c>
      <c r="B54" s="212"/>
      <c r="C54" s="212"/>
      <c r="D54" s="213"/>
    </row>
    <row r="55" spans="1:4" x14ac:dyDescent="0.2">
      <c r="A55" s="3" t="str">
        <f t="shared" si="0"/>
        <v/>
      </c>
      <c r="B55" s="212"/>
      <c r="C55" s="212"/>
      <c r="D55" s="213"/>
    </row>
    <row r="56" spans="1:4" x14ac:dyDescent="0.2">
      <c r="A56" s="3" t="str">
        <f t="shared" si="0"/>
        <v/>
      </c>
      <c r="B56" s="212"/>
      <c r="C56" s="212"/>
      <c r="D56" s="213"/>
    </row>
    <row r="57" spans="1:4" x14ac:dyDescent="0.2">
      <c r="A57" s="3" t="str">
        <f t="shared" si="0"/>
        <v/>
      </c>
      <c r="B57" s="212"/>
      <c r="C57" s="212"/>
      <c r="D57" s="213"/>
    </row>
    <row r="58" spans="1:4" x14ac:dyDescent="0.2">
      <c r="A58" s="3" t="str">
        <f t="shared" si="0"/>
        <v/>
      </c>
      <c r="B58" s="212"/>
      <c r="C58" s="212"/>
      <c r="D58" s="213"/>
    </row>
    <row r="59" spans="1:4" x14ac:dyDescent="0.2">
      <c r="A59" s="3" t="str">
        <f t="shared" si="0"/>
        <v/>
      </c>
      <c r="B59" s="212"/>
      <c r="C59" s="212"/>
      <c r="D59" s="213"/>
    </row>
    <row r="60" spans="1:4" x14ac:dyDescent="0.2">
      <c r="A60" s="3" t="str">
        <f t="shared" si="0"/>
        <v/>
      </c>
      <c r="B60" s="212"/>
      <c r="C60" s="212"/>
      <c r="D60" s="213"/>
    </row>
    <row r="61" spans="1:4" x14ac:dyDescent="0.2">
      <c r="A61" s="3" t="str">
        <f t="shared" si="0"/>
        <v/>
      </c>
      <c r="B61" s="212"/>
      <c r="C61" s="212"/>
      <c r="D61" s="213"/>
    </row>
    <row r="62" spans="1:4" x14ac:dyDescent="0.2">
      <c r="A62" s="3" t="str">
        <f t="shared" si="0"/>
        <v/>
      </c>
      <c r="B62" s="212"/>
      <c r="C62" s="212"/>
      <c r="D62" s="213"/>
    </row>
    <row r="63" spans="1:4" x14ac:dyDescent="0.2">
      <c r="A63" s="3" t="str">
        <f t="shared" si="0"/>
        <v/>
      </c>
      <c r="B63" s="212"/>
      <c r="C63" s="212"/>
      <c r="D63" s="213"/>
    </row>
    <row r="64" spans="1:4" x14ac:dyDescent="0.2">
      <c r="A64" s="3" t="str">
        <f t="shared" si="0"/>
        <v/>
      </c>
      <c r="B64" s="212"/>
      <c r="C64" s="212"/>
      <c r="D64" s="213"/>
    </row>
    <row r="65" spans="1:4" x14ac:dyDescent="0.2">
      <c r="A65" s="3" t="str">
        <f t="shared" si="0"/>
        <v/>
      </c>
      <c r="B65" s="212"/>
      <c r="C65" s="212"/>
      <c r="D65" s="213"/>
    </row>
    <row r="66" spans="1:4" x14ac:dyDescent="0.2">
      <c r="A66" s="3" t="str">
        <f t="shared" si="0"/>
        <v/>
      </c>
      <c r="B66" s="212"/>
      <c r="C66" s="212"/>
      <c r="D66" s="213"/>
    </row>
    <row r="67" spans="1:4" x14ac:dyDescent="0.2">
      <c r="A67" s="3" t="str">
        <f t="shared" si="0"/>
        <v/>
      </c>
      <c r="B67" s="212"/>
      <c r="C67" s="212"/>
      <c r="D67" s="213"/>
    </row>
    <row r="68" spans="1:4" x14ac:dyDescent="0.2">
      <c r="A68" s="3" t="str">
        <f t="shared" si="0"/>
        <v/>
      </c>
      <c r="B68" s="212"/>
      <c r="C68" s="212"/>
      <c r="D68" s="213"/>
    </row>
    <row r="69" spans="1:4" x14ac:dyDescent="0.2">
      <c r="A69" s="3" t="str">
        <f t="shared" si="0"/>
        <v/>
      </c>
      <c r="B69" s="212"/>
      <c r="C69" s="212"/>
      <c r="D69" s="213"/>
    </row>
    <row r="70" spans="1:4" x14ac:dyDescent="0.2">
      <c r="A70" s="3" t="str">
        <f t="shared" ref="A70:A103" si="1">IF(ISBLANK(B70),"",A69+1)</f>
        <v/>
      </c>
      <c r="B70" s="212"/>
      <c r="C70" s="212"/>
      <c r="D70" s="213"/>
    </row>
    <row r="71" spans="1:4" x14ac:dyDescent="0.2">
      <c r="A71" s="3" t="str">
        <f t="shared" si="1"/>
        <v/>
      </c>
      <c r="B71" s="212"/>
      <c r="C71" s="212"/>
      <c r="D71" s="213"/>
    </row>
    <row r="72" spans="1:4" x14ac:dyDescent="0.2">
      <c r="A72" s="3" t="str">
        <f t="shared" si="1"/>
        <v/>
      </c>
      <c r="B72" s="212"/>
      <c r="C72" s="212"/>
      <c r="D72" s="213"/>
    </row>
    <row r="73" spans="1:4" x14ac:dyDescent="0.2">
      <c r="A73" s="3" t="str">
        <f t="shared" si="1"/>
        <v/>
      </c>
      <c r="B73" s="212"/>
      <c r="C73" s="212"/>
      <c r="D73" s="213"/>
    </row>
    <row r="74" spans="1:4" x14ac:dyDescent="0.2">
      <c r="A74" s="3" t="str">
        <f t="shared" si="1"/>
        <v/>
      </c>
      <c r="B74" s="212"/>
      <c r="C74" s="212"/>
      <c r="D74" s="213"/>
    </row>
    <row r="75" spans="1:4" x14ac:dyDescent="0.2">
      <c r="A75" s="3" t="str">
        <f t="shared" si="1"/>
        <v/>
      </c>
      <c r="B75" s="212"/>
      <c r="C75" s="212"/>
      <c r="D75" s="213"/>
    </row>
    <row r="76" spans="1:4" x14ac:dyDescent="0.2">
      <c r="A76" s="3" t="str">
        <f t="shared" si="1"/>
        <v/>
      </c>
      <c r="B76" s="212"/>
      <c r="C76" s="212"/>
      <c r="D76" s="213"/>
    </row>
    <row r="77" spans="1:4" x14ac:dyDescent="0.2">
      <c r="A77" s="3" t="str">
        <f t="shared" si="1"/>
        <v/>
      </c>
      <c r="B77" s="212"/>
      <c r="C77" s="212"/>
      <c r="D77" s="213"/>
    </row>
    <row r="78" spans="1:4" x14ac:dyDescent="0.2">
      <c r="A78" s="3" t="str">
        <f t="shared" si="1"/>
        <v/>
      </c>
      <c r="B78" s="212"/>
      <c r="C78" s="212"/>
      <c r="D78" s="213"/>
    </row>
    <row r="79" spans="1:4" x14ac:dyDescent="0.2">
      <c r="A79" s="3" t="str">
        <f t="shared" si="1"/>
        <v/>
      </c>
      <c r="B79" s="212"/>
      <c r="C79" s="212"/>
      <c r="D79" s="213"/>
    </row>
    <row r="80" spans="1:4" x14ac:dyDescent="0.2">
      <c r="A80" s="3" t="str">
        <f t="shared" si="1"/>
        <v/>
      </c>
      <c r="B80" s="212"/>
      <c r="C80" s="212"/>
      <c r="D80" s="213"/>
    </row>
    <row r="81" spans="1:4" x14ac:dyDescent="0.2">
      <c r="A81" s="3" t="str">
        <f t="shared" si="1"/>
        <v/>
      </c>
      <c r="B81" s="212"/>
      <c r="C81" s="212"/>
      <c r="D81" s="213"/>
    </row>
    <row r="82" spans="1:4" x14ac:dyDescent="0.2">
      <c r="A82" s="3" t="str">
        <f t="shared" si="1"/>
        <v/>
      </c>
      <c r="B82" s="212"/>
      <c r="C82" s="212"/>
      <c r="D82" s="213"/>
    </row>
    <row r="83" spans="1:4" x14ac:dyDescent="0.2">
      <c r="A83" s="3" t="str">
        <f t="shared" si="1"/>
        <v/>
      </c>
      <c r="B83" s="212"/>
      <c r="C83" s="212"/>
      <c r="D83" s="213"/>
    </row>
    <row r="84" spans="1:4" x14ac:dyDescent="0.2">
      <c r="A84" s="3" t="str">
        <f t="shared" si="1"/>
        <v/>
      </c>
      <c r="B84" s="212"/>
      <c r="C84" s="212"/>
      <c r="D84" s="213"/>
    </row>
    <row r="85" spans="1:4" x14ac:dyDescent="0.2">
      <c r="A85" s="3" t="str">
        <f t="shared" si="1"/>
        <v/>
      </c>
      <c r="B85" s="212"/>
      <c r="C85" s="212"/>
      <c r="D85" s="213"/>
    </row>
    <row r="86" spans="1:4" x14ac:dyDescent="0.2">
      <c r="A86" s="3" t="str">
        <f t="shared" si="1"/>
        <v/>
      </c>
      <c r="B86" s="212"/>
      <c r="C86" s="212"/>
      <c r="D86" s="213"/>
    </row>
    <row r="87" spans="1:4" x14ac:dyDescent="0.2">
      <c r="A87" s="3" t="str">
        <f t="shared" si="1"/>
        <v/>
      </c>
      <c r="B87" s="212"/>
      <c r="C87" s="212"/>
      <c r="D87" s="213"/>
    </row>
    <row r="88" spans="1:4" x14ac:dyDescent="0.2">
      <c r="A88" s="3" t="str">
        <f t="shared" si="1"/>
        <v/>
      </c>
      <c r="B88" s="212"/>
      <c r="C88" s="212"/>
      <c r="D88" s="213"/>
    </row>
    <row r="89" spans="1:4" x14ac:dyDescent="0.2">
      <c r="A89" s="3" t="str">
        <f t="shared" si="1"/>
        <v/>
      </c>
      <c r="B89" s="212"/>
      <c r="C89" s="212"/>
      <c r="D89" s="213"/>
    </row>
    <row r="90" spans="1:4" x14ac:dyDescent="0.2">
      <c r="A90" s="3" t="str">
        <f t="shared" si="1"/>
        <v/>
      </c>
      <c r="B90" s="212"/>
      <c r="C90" s="212"/>
      <c r="D90" s="213"/>
    </row>
    <row r="91" spans="1:4" x14ac:dyDescent="0.2">
      <c r="A91" s="3" t="str">
        <f t="shared" si="1"/>
        <v/>
      </c>
      <c r="B91" s="212"/>
      <c r="C91" s="212"/>
      <c r="D91" s="213"/>
    </row>
    <row r="92" spans="1:4" x14ac:dyDescent="0.2">
      <c r="A92" s="3" t="str">
        <f t="shared" si="1"/>
        <v/>
      </c>
      <c r="B92" s="212"/>
      <c r="C92" s="212"/>
      <c r="D92" s="213"/>
    </row>
    <row r="93" spans="1:4" x14ac:dyDescent="0.2">
      <c r="A93" s="3" t="str">
        <f t="shared" si="1"/>
        <v/>
      </c>
      <c r="B93" s="212"/>
      <c r="C93" s="212"/>
      <c r="D93" s="213"/>
    </row>
    <row r="94" spans="1:4" x14ac:dyDescent="0.2">
      <c r="A94" s="3" t="str">
        <f t="shared" si="1"/>
        <v/>
      </c>
      <c r="B94" s="212"/>
      <c r="C94" s="212"/>
      <c r="D94" s="213"/>
    </row>
    <row r="95" spans="1:4" x14ac:dyDescent="0.2">
      <c r="A95" s="3" t="str">
        <f t="shared" si="1"/>
        <v/>
      </c>
      <c r="B95" s="212"/>
      <c r="C95" s="212"/>
      <c r="D95" s="213"/>
    </row>
    <row r="96" spans="1:4" x14ac:dyDescent="0.2">
      <c r="A96" s="3" t="str">
        <f t="shared" si="1"/>
        <v/>
      </c>
      <c r="B96" s="212"/>
      <c r="C96" s="212"/>
      <c r="D96" s="213"/>
    </row>
    <row r="97" spans="1:4" x14ac:dyDescent="0.2">
      <c r="A97" s="3" t="str">
        <f t="shared" si="1"/>
        <v/>
      </c>
      <c r="B97" s="212"/>
      <c r="C97" s="212"/>
      <c r="D97" s="213"/>
    </row>
    <row r="98" spans="1:4" x14ac:dyDescent="0.2">
      <c r="A98" s="3" t="str">
        <f t="shared" si="1"/>
        <v/>
      </c>
      <c r="B98" s="212"/>
      <c r="C98" s="212"/>
      <c r="D98" s="213"/>
    </row>
    <row r="99" spans="1:4" x14ac:dyDescent="0.2">
      <c r="A99" s="3" t="str">
        <f t="shared" si="1"/>
        <v/>
      </c>
      <c r="B99" s="212"/>
      <c r="C99" s="212"/>
      <c r="D99" s="213"/>
    </row>
    <row r="100" spans="1:4" x14ac:dyDescent="0.2">
      <c r="A100" s="3" t="str">
        <f t="shared" si="1"/>
        <v/>
      </c>
      <c r="B100" s="212"/>
      <c r="C100" s="212"/>
      <c r="D100" s="213"/>
    </row>
    <row r="101" spans="1:4" x14ac:dyDescent="0.2">
      <c r="A101" s="3" t="str">
        <f t="shared" si="1"/>
        <v/>
      </c>
      <c r="B101" s="212"/>
      <c r="C101" s="212"/>
      <c r="D101" s="213"/>
    </row>
    <row r="102" spans="1:4" x14ac:dyDescent="0.2">
      <c r="A102" s="3" t="str">
        <f t="shared" si="1"/>
        <v/>
      </c>
      <c r="B102" s="212"/>
      <c r="C102" s="212"/>
      <c r="D102" s="213"/>
    </row>
    <row r="103" spans="1:4" x14ac:dyDescent="0.2">
      <c r="A103" s="3" t="str">
        <f t="shared" si="1"/>
        <v/>
      </c>
      <c r="B103" s="212"/>
      <c r="C103" s="212"/>
      <c r="D103" s="213"/>
    </row>
  </sheetData>
  <sheetProtection password="DE57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9"/>
  <sheetViews>
    <sheetView workbookViewId="0">
      <selection activeCell="C36" sqref="C36"/>
    </sheetView>
  </sheetViews>
  <sheetFormatPr defaultRowHeight="12.75" x14ac:dyDescent="0.2"/>
  <cols>
    <col min="1" max="1" width="4.5703125" customWidth="1"/>
    <col min="2" max="2" width="31.28515625" bestFit="1" customWidth="1"/>
    <col min="3" max="3" width="10.140625" bestFit="1" customWidth="1"/>
    <col min="4" max="4" width="6.7109375" bestFit="1" customWidth="1"/>
    <col min="5" max="5" width="6" bestFit="1" customWidth="1"/>
    <col min="10" max="10" width="10.7109375" bestFit="1" customWidth="1"/>
    <col min="11" max="11" width="7.85546875" bestFit="1" customWidth="1"/>
    <col min="13" max="13" width="42.28515625" bestFit="1" customWidth="1"/>
    <col min="14" max="14" width="3.5703125" customWidth="1"/>
    <col min="15" max="15" width="41.85546875" bestFit="1" customWidth="1"/>
    <col min="16" max="16" width="4.7109375" bestFit="1" customWidth="1"/>
    <col min="17" max="17" width="64" bestFit="1" customWidth="1"/>
    <col min="19" max="19" width="51.42578125" bestFit="1" customWidth="1"/>
    <col min="21" max="21" width="22.85546875" bestFit="1" customWidth="1"/>
  </cols>
  <sheetData>
    <row r="1" spans="2:23" ht="13.5" thickBot="1" x14ac:dyDescent="0.25">
      <c r="J1" t="s">
        <v>10</v>
      </c>
      <c r="K1" t="s">
        <v>11</v>
      </c>
      <c r="O1" t="s">
        <v>68</v>
      </c>
      <c r="P1" s="276"/>
      <c r="Q1" t="s">
        <v>67</v>
      </c>
      <c r="S1" t="s">
        <v>66</v>
      </c>
    </row>
    <row r="2" spans="2:23" x14ac:dyDescent="0.2">
      <c r="B2" s="5" t="s">
        <v>55</v>
      </c>
      <c r="C2">
        <f t="shared" ref="C2:C5" si="0">F2+H2</f>
        <v>204250</v>
      </c>
      <c r="D2" s="6" t="s">
        <v>54</v>
      </c>
      <c r="E2" s="6">
        <v>14184</v>
      </c>
      <c r="F2" s="6">
        <f>E2*12</f>
        <v>170208</v>
      </c>
      <c r="G2" s="7">
        <v>0.2</v>
      </c>
      <c r="H2" s="8">
        <f>ROUND(F2*G2,0)</f>
        <v>34042</v>
      </c>
      <c r="J2" t="s">
        <v>8</v>
      </c>
      <c r="K2" t="s">
        <v>114</v>
      </c>
      <c r="M2" t="s">
        <v>2</v>
      </c>
      <c r="O2" t="s">
        <v>276</v>
      </c>
      <c r="P2" s="277">
        <v>0.32100000000000001</v>
      </c>
      <c r="Q2" t="s">
        <v>30</v>
      </c>
      <c r="S2" t="s">
        <v>80</v>
      </c>
      <c r="U2" t="s">
        <v>76</v>
      </c>
      <c r="W2" s="9" t="s">
        <v>5</v>
      </c>
    </row>
    <row r="3" spans="2:23" x14ac:dyDescent="0.2">
      <c r="B3" s="10" t="s">
        <v>56</v>
      </c>
      <c r="C3">
        <f t="shared" si="0"/>
        <v>157092.40000000002</v>
      </c>
      <c r="D3" t="s">
        <v>54</v>
      </c>
      <c r="E3">
        <v>10909.2</v>
      </c>
      <c r="F3">
        <f t="shared" ref="F3:F12" si="1">E3*12</f>
        <v>130910.40000000001</v>
      </c>
      <c r="G3" s="11">
        <v>0.2</v>
      </c>
      <c r="H3" s="12">
        <f t="shared" ref="H3:H12" si="2">ROUND(F3*G3,0)</f>
        <v>26182</v>
      </c>
      <c r="J3" t="s">
        <v>9</v>
      </c>
      <c r="K3" t="s">
        <v>172</v>
      </c>
      <c r="M3" t="s">
        <v>6</v>
      </c>
      <c r="O3" t="s">
        <v>12</v>
      </c>
      <c r="P3" s="277">
        <v>0.247</v>
      </c>
      <c r="Q3" t="s">
        <v>27</v>
      </c>
      <c r="S3" t="s">
        <v>81</v>
      </c>
      <c r="U3" t="s">
        <v>75</v>
      </c>
      <c r="W3">
        <v>1</v>
      </c>
    </row>
    <row r="4" spans="2:23" x14ac:dyDescent="0.2">
      <c r="B4" s="10" t="s">
        <v>56</v>
      </c>
      <c r="C4">
        <f t="shared" si="0"/>
        <v>0</v>
      </c>
      <c r="D4" t="s">
        <v>58</v>
      </c>
      <c r="F4">
        <f t="shared" si="1"/>
        <v>0</v>
      </c>
      <c r="G4" s="11">
        <v>0.2</v>
      </c>
      <c r="H4" s="12">
        <f t="shared" si="2"/>
        <v>0</v>
      </c>
      <c r="J4" t="s">
        <v>14</v>
      </c>
      <c r="K4" t="s">
        <v>173</v>
      </c>
      <c r="O4" t="s">
        <v>275</v>
      </c>
      <c r="P4" s="277">
        <v>0.58699999999999997</v>
      </c>
      <c r="Q4" t="s">
        <v>25</v>
      </c>
      <c r="S4" t="s">
        <v>93</v>
      </c>
      <c r="U4" t="s">
        <v>77</v>
      </c>
      <c r="W4">
        <v>2</v>
      </c>
    </row>
    <row r="5" spans="2:23" x14ac:dyDescent="0.2">
      <c r="B5" s="10" t="s">
        <v>57</v>
      </c>
      <c r="C5">
        <f t="shared" si="0"/>
        <v>0</v>
      </c>
      <c r="D5" t="s">
        <v>58</v>
      </c>
      <c r="F5">
        <f t="shared" si="1"/>
        <v>0</v>
      </c>
      <c r="G5" s="11">
        <v>0.15</v>
      </c>
      <c r="H5" s="12">
        <f t="shared" si="2"/>
        <v>0</v>
      </c>
      <c r="J5" t="s">
        <v>17</v>
      </c>
      <c r="K5" t="s">
        <v>174</v>
      </c>
      <c r="O5" t="s">
        <v>224</v>
      </c>
      <c r="P5" s="277">
        <v>0.28799999999999998</v>
      </c>
      <c r="Q5" t="s">
        <v>229</v>
      </c>
      <c r="S5" t="s">
        <v>82</v>
      </c>
      <c r="W5">
        <v>3</v>
      </c>
    </row>
    <row r="6" spans="2:23" x14ac:dyDescent="0.2">
      <c r="B6" s="14" t="s">
        <v>57</v>
      </c>
      <c r="C6">
        <f t="shared" ref="C6:C12" si="3">F6+H6</f>
        <v>124746.20000000001</v>
      </c>
      <c r="D6" s="13" t="s">
        <v>59</v>
      </c>
      <c r="E6" s="13">
        <v>9039.6</v>
      </c>
      <c r="F6">
        <f t="shared" si="1"/>
        <v>108475.20000000001</v>
      </c>
      <c r="G6" s="11">
        <v>0.15</v>
      </c>
      <c r="H6" s="12">
        <f t="shared" si="2"/>
        <v>16271</v>
      </c>
      <c r="J6" t="s">
        <v>21</v>
      </c>
      <c r="K6" t="s">
        <v>175</v>
      </c>
      <c r="O6" t="s">
        <v>225</v>
      </c>
      <c r="P6" s="277">
        <v>0.254</v>
      </c>
      <c r="Q6" t="s">
        <v>16</v>
      </c>
      <c r="S6" t="s">
        <v>94</v>
      </c>
      <c r="W6">
        <v>4</v>
      </c>
    </row>
    <row r="7" spans="2:23" x14ac:dyDescent="0.2">
      <c r="B7" s="14" t="s">
        <v>60</v>
      </c>
      <c r="C7">
        <f t="shared" si="3"/>
        <v>0</v>
      </c>
      <c r="D7" s="13" t="s">
        <v>59</v>
      </c>
      <c r="E7" s="13"/>
      <c r="F7">
        <f t="shared" si="1"/>
        <v>0</v>
      </c>
      <c r="G7" s="11">
        <v>0.1</v>
      </c>
      <c r="H7" s="12">
        <f t="shared" si="2"/>
        <v>0</v>
      </c>
      <c r="J7" t="s">
        <v>23</v>
      </c>
      <c r="K7" t="s">
        <v>247</v>
      </c>
      <c r="O7" s="13" t="s">
        <v>226</v>
      </c>
      <c r="P7" s="277">
        <v>0.33200000000000002</v>
      </c>
      <c r="Q7" t="s">
        <v>230</v>
      </c>
      <c r="S7" t="s">
        <v>83</v>
      </c>
      <c r="V7" s="15"/>
      <c r="W7">
        <v>5</v>
      </c>
    </row>
    <row r="8" spans="2:23" x14ac:dyDescent="0.2">
      <c r="B8" s="10" t="s">
        <v>60</v>
      </c>
      <c r="C8">
        <f t="shared" si="3"/>
        <v>76639</v>
      </c>
      <c r="D8" t="s">
        <v>65</v>
      </c>
      <c r="E8">
        <v>5806</v>
      </c>
      <c r="F8">
        <f t="shared" si="1"/>
        <v>69672</v>
      </c>
      <c r="G8" s="11">
        <v>0.1</v>
      </c>
      <c r="H8" s="12">
        <f t="shared" si="2"/>
        <v>6967</v>
      </c>
      <c r="J8" t="s">
        <v>24</v>
      </c>
      <c r="K8" t="s">
        <v>248</v>
      </c>
      <c r="O8" t="s">
        <v>227</v>
      </c>
      <c r="P8" s="277">
        <v>0.40300000000000002</v>
      </c>
      <c r="Q8" s="13" t="s">
        <v>271</v>
      </c>
      <c r="S8" t="s">
        <v>96</v>
      </c>
    </row>
    <row r="9" spans="2:23" x14ac:dyDescent="0.2">
      <c r="B9" s="10" t="s">
        <v>61</v>
      </c>
      <c r="C9">
        <f t="shared" si="3"/>
        <v>0</v>
      </c>
      <c r="D9" t="s">
        <v>59</v>
      </c>
      <c r="F9">
        <f t="shared" si="1"/>
        <v>0</v>
      </c>
      <c r="G9" s="11">
        <v>0.15</v>
      </c>
      <c r="H9" s="12">
        <f t="shared" si="2"/>
        <v>0</v>
      </c>
      <c r="J9" t="s">
        <v>26</v>
      </c>
      <c r="K9" t="s">
        <v>249</v>
      </c>
      <c r="P9" s="277"/>
      <c r="Q9" t="s">
        <v>272</v>
      </c>
      <c r="S9" t="s">
        <v>95</v>
      </c>
    </row>
    <row r="10" spans="2:23" x14ac:dyDescent="0.2">
      <c r="B10" s="10" t="s">
        <v>61</v>
      </c>
      <c r="C10">
        <f t="shared" si="3"/>
        <v>0</v>
      </c>
      <c r="D10" t="s">
        <v>65</v>
      </c>
      <c r="F10">
        <f t="shared" si="1"/>
        <v>0</v>
      </c>
      <c r="G10" s="11">
        <v>0.2</v>
      </c>
      <c r="H10" s="12">
        <f t="shared" si="2"/>
        <v>0</v>
      </c>
      <c r="J10" t="s">
        <v>29</v>
      </c>
      <c r="K10" t="s">
        <v>250</v>
      </c>
      <c r="O10" s="9" t="s">
        <v>228</v>
      </c>
      <c r="P10" s="277">
        <v>0.36</v>
      </c>
      <c r="Q10" t="s">
        <v>231</v>
      </c>
      <c r="S10" t="s">
        <v>97</v>
      </c>
    </row>
    <row r="11" spans="2:23" x14ac:dyDescent="0.2">
      <c r="B11" s="10" t="s">
        <v>63</v>
      </c>
      <c r="C11">
        <f t="shared" si="3"/>
        <v>80123</v>
      </c>
      <c r="D11" t="s">
        <v>65</v>
      </c>
      <c r="E11">
        <v>5806</v>
      </c>
      <c r="F11">
        <f t="shared" si="1"/>
        <v>69672</v>
      </c>
      <c r="G11" s="11">
        <v>0.15</v>
      </c>
      <c r="H11" s="12">
        <f t="shared" si="2"/>
        <v>10451</v>
      </c>
      <c r="J11" t="s">
        <v>113</v>
      </c>
      <c r="K11" t="s">
        <v>251</v>
      </c>
      <c r="P11" s="276"/>
      <c r="Q11" t="s">
        <v>273</v>
      </c>
      <c r="S11" t="s">
        <v>115</v>
      </c>
    </row>
    <row r="12" spans="2:23" ht="13.5" thickBot="1" x14ac:dyDescent="0.25">
      <c r="B12" s="17" t="s">
        <v>64</v>
      </c>
      <c r="C12" s="18">
        <f t="shared" si="3"/>
        <v>0</v>
      </c>
      <c r="D12" s="18" t="s">
        <v>65</v>
      </c>
      <c r="E12" s="18"/>
      <c r="F12" s="18">
        <f t="shared" si="1"/>
        <v>0</v>
      </c>
      <c r="G12" s="19">
        <v>0.1</v>
      </c>
      <c r="H12" s="20">
        <f t="shared" si="2"/>
        <v>0</v>
      </c>
      <c r="J12" t="s">
        <v>31</v>
      </c>
      <c r="K12" t="s">
        <v>252</v>
      </c>
      <c r="P12" s="276"/>
      <c r="Q12" t="s">
        <v>232</v>
      </c>
      <c r="S12" t="s">
        <v>98</v>
      </c>
    </row>
    <row r="13" spans="2:23" x14ac:dyDescent="0.2">
      <c r="J13" t="s">
        <v>33</v>
      </c>
      <c r="K13" t="s">
        <v>253</v>
      </c>
      <c r="Q13" t="s">
        <v>233</v>
      </c>
      <c r="S13" t="s">
        <v>99</v>
      </c>
    </row>
    <row r="14" spans="2:23" x14ac:dyDescent="0.2">
      <c r="Q14" t="s">
        <v>234</v>
      </c>
      <c r="S14" t="s">
        <v>100</v>
      </c>
    </row>
    <row r="15" spans="2:23" x14ac:dyDescent="0.2">
      <c r="Q15" t="s">
        <v>235</v>
      </c>
      <c r="S15" t="s">
        <v>84</v>
      </c>
    </row>
    <row r="16" spans="2:23" x14ac:dyDescent="0.2">
      <c r="M16" t="s">
        <v>1</v>
      </c>
      <c r="Q16" s="16" t="s">
        <v>236</v>
      </c>
      <c r="R16" s="16"/>
      <c r="S16" t="s">
        <v>101</v>
      </c>
    </row>
    <row r="17" spans="1:2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t="s">
        <v>274</v>
      </c>
      <c r="R17" s="21"/>
      <c r="S17" t="s">
        <v>102</v>
      </c>
      <c r="T17" s="13"/>
      <c r="U17" s="13"/>
      <c r="V17" s="13"/>
      <c r="W17" s="13"/>
      <c r="X17" s="13"/>
      <c r="Y17" s="13"/>
    </row>
    <row r="18" spans="1:25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3"/>
      <c r="N18" s="13"/>
      <c r="O18" s="13"/>
      <c r="P18" s="13"/>
      <c r="Q18" t="s">
        <v>237</v>
      </c>
      <c r="R18" s="21"/>
      <c r="S18" t="s">
        <v>103</v>
      </c>
      <c r="T18" s="13"/>
      <c r="U18" s="13"/>
      <c r="V18" s="13"/>
      <c r="W18" s="13"/>
      <c r="X18" s="13"/>
      <c r="Y18" s="13"/>
    </row>
    <row r="19" spans="1:25" x14ac:dyDescent="0.2">
      <c r="Q19" t="s">
        <v>238</v>
      </c>
      <c r="R19" s="16"/>
      <c r="S19" t="s">
        <v>85</v>
      </c>
    </row>
    <row r="20" spans="1:25" x14ac:dyDescent="0.2">
      <c r="Q20" t="s">
        <v>277</v>
      </c>
      <c r="R20" s="16"/>
      <c r="S20" t="s">
        <v>86</v>
      </c>
    </row>
    <row r="21" spans="1:25" x14ac:dyDescent="0.2">
      <c r="A21" s="22"/>
      <c r="Q21" t="s">
        <v>239</v>
      </c>
      <c r="R21" s="16"/>
      <c r="S21" t="s">
        <v>87</v>
      </c>
    </row>
    <row r="22" spans="1:25" x14ac:dyDescent="0.2">
      <c r="R22" s="16"/>
      <c r="S22" t="s">
        <v>104</v>
      </c>
    </row>
    <row r="23" spans="1: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R23" s="21"/>
      <c r="S23" t="s">
        <v>105</v>
      </c>
      <c r="T23" s="13"/>
      <c r="U23" s="13"/>
      <c r="V23" s="13"/>
      <c r="W23" s="13"/>
      <c r="X23" s="13"/>
      <c r="Y23" s="13"/>
    </row>
    <row r="24" spans="1:25" x14ac:dyDescent="0.2">
      <c r="R24" s="16"/>
      <c r="S24" t="s">
        <v>106</v>
      </c>
    </row>
    <row r="25" spans="1:25" x14ac:dyDescent="0.2">
      <c r="B25" s="3" t="s">
        <v>197</v>
      </c>
      <c r="C25" s="3">
        <v>108</v>
      </c>
      <c r="D25" t="s">
        <v>219</v>
      </c>
      <c r="R25" s="16"/>
      <c r="S25" t="s">
        <v>107</v>
      </c>
    </row>
    <row r="26" spans="1:25" x14ac:dyDescent="0.2">
      <c r="B26" s="3" t="s">
        <v>221</v>
      </c>
      <c r="C26" s="3">
        <v>91</v>
      </c>
      <c r="R26" s="16"/>
      <c r="S26" t="s">
        <v>108</v>
      </c>
    </row>
    <row r="27" spans="1:25" x14ac:dyDescent="0.2">
      <c r="B27" s="3" t="s">
        <v>57</v>
      </c>
      <c r="C27" s="3">
        <v>83</v>
      </c>
      <c r="R27" s="16"/>
      <c r="S27" s="16" t="s">
        <v>109</v>
      </c>
    </row>
    <row r="28" spans="1:25" x14ac:dyDescent="0.2">
      <c r="B28" s="3" t="s">
        <v>60</v>
      </c>
      <c r="C28" s="3">
        <v>76</v>
      </c>
      <c r="L28" s="23"/>
      <c r="R28" s="16"/>
      <c r="S28" s="16" t="s">
        <v>88</v>
      </c>
    </row>
    <row r="29" spans="1:25" x14ac:dyDescent="0.2">
      <c r="B29" s="3" t="s">
        <v>270</v>
      </c>
      <c r="C29" s="3">
        <v>50</v>
      </c>
      <c r="L29" s="24"/>
      <c r="R29" s="16"/>
      <c r="S29" s="16" t="s">
        <v>89</v>
      </c>
    </row>
    <row r="30" spans="1:25" x14ac:dyDescent="0.2">
      <c r="B30" s="3"/>
      <c r="C30" s="3"/>
      <c r="L30" s="24"/>
      <c r="R30" s="16"/>
      <c r="S30" s="16" t="s">
        <v>90</v>
      </c>
    </row>
    <row r="31" spans="1:25" x14ac:dyDescent="0.2">
      <c r="L31" s="24"/>
      <c r="R31" s="16"/>
      <c r="S31" s="16" t="s">
        <v>91</v>
      </c>
    </row>
    <row r="32" spans="1:25" x14ac:dyDescent="0.2">
      <c r="B32" s="3" t="str">
        <f>ST!C35</f>
        <v>profesor</v>
      </c>
      <c r="C32" s="3">
        <f>ROUND((C2*55%)/180,0)</f>
        <v>624</v>
      </c>
      <c r="D32" t="s">
        <v>220</v>
      </c>
      <c r="H32">
        <v>10417</v>
      </c>
      <c r="I32">
        <f>((H32*12)*65%)/180</f>
        <v>451.40333333333336</v>
      </c>
      <c r="K32" t="s">
        <v>244</v>
      </c>
      <c r="L32" s="24"/>
      <c r="R32" s="16"/>
      <c r="S32" s="16" t="s">
        <v>110</v>
      </c>
    </row>
    <row r="33" spans="1:25" x14ac:dyDescent="0.2">
      <c r="B33" s="3" t="str">
        <f>ST!C36</f>
        <v>profesor uczelni</v>
      </c>
      <c r="C33" s="3">
        <f>ROUND((C3*55%)/180,0)</f>
        <v>480</v>
      </c>
      <c r="H33">
        <v>7620</v>
      </c>
      <c r="I33">
        <f t="shared" ref="I33" si="4">((H33*12)*65%)/180</f>
        <v>330.2</v>
      </c>
      <c r="K33" t="s">
        <v>243</v>
      </c>
      <c r="L33" s="24"/>
      <c r="R33" s="16"/>
      <c r="S33" t="s">
        <v>92</v>
      </c>
      <c r="T33" s="16"/>
      <c r="U33" s="16"/>
      <c r="V33" s="16"/>
      <c r="W33" s="16"/>
      <c r="X33" s="16"/>
      <c r="Y33" s="16"/>
    </row>
    <row r="34" spans="1:25" x14ac:dyDescent="0.2">
      <c r="B34" s="3" t="str">
        <f>ST!C37</f>
        <v>adiunkt</v>
      </c>
      <c r="C34" s="3">
        <f>ROUND((C6*55%)/240,0)</f>
        <v>286</v>
      </c>
      <c r="H34">
        <v>5550</v>
      </c>
      <c r="I34">
        <f>((H34*12)*65%)/240</f>
        <v>180.375</v>
      </c>
      <c r="J34" s="25"/>
      <c r="K34" s="26"/>
      <c r="L34" s="266">
        <v>0.45</v>
      </c>
      <c r="M34" t="s">
        <v>245</v>
      </c>
      <c r="R34" s="16"/>
      <c r="S34" t="s">
        <v>111</v>
      </c>
      <c r="T34" s="16"/>
      <c r="U34" s="16"/>
      <c r="V34" s="16"/>
      <c r="W34" s="16"/>
      <c r="X34" s="16"/>
      <c r="Y34" s="16"/>
    </row>
    <row r="35" spans="1:25" x14ac:dyDescent="0.2">
      <c r="B35" s="3" t="str">
        <f>ST!C38</f>
        <v>asystent</v>
      </c>
      <c r="C35" s="3">
        <f>ROUND((C8*55%)/360,0)</f>
        <v>117</v>
      </c>
      <c r="H35">
        <v>3741</v>
      </c>
      <c r="I35">
        <f>((H35*12)*65%)/360</f>
        <v>81.054999999999993</v>
      </c>
      <c r="J35" s="25"/>
      <c r="K35" s="26"/>
      <c r="L35" s="266">
        <v>0.55000000000000004</v>
      </c>
      <c r="M35" t="s">
        <v>246</v>
      </c>
      <c r="N35" s="13"/>
      <c r="O35" s="13"/>
      <c r="P35" s="13"/>
      <c r="R35" s="16"/>
      <c r="S35" t="s">
        <v>112</v>
      </c>
      <c r="T35" s="16"/>
      <c r="U35" s="16"/>
      <c r="V35" s="16"/>
      <c r="W35" s="16"/>
      <c r="X35" s="16"/>
      <c r="Y35" s="16"/>
    </row>
    <row r="36" spans="1:25" x14ac:dyDescent="0.2">
      <c r="B36" s="3" t="str">
        <f>ST!C39</f>
        <v>wykładowca;lektor;instruktor</v>
      </c>
      <c r="C36" s="3">
        <f>ROUND(C11/540,0)</f>
        <v>148</v>
      </c>
      <c r="J36" s="25"/>
      <c r="K36" s="26"/>
      <c r="L36" s="24"/>
    </row>
    <row r="37" spans="1:25" x14ac:dyDescent="0.2">
      <c r="J37" s="25"/>
      <c r="K37" s="26"/>
      <c r="L37" s="24"/>
    </row>
    <row r="38" spans="1:25" x14ac:dyDescent="0.2">
      <c r="E38" t="s">
        <v>279</v>
      </c>
      <c r="V38" s="16"/>
      <c r="W38" s="16"/>
      <c r="X38" s="16"/>
      <c r="Y38" s="16"/>
    </row>
    <row r="39" spans="1:25" ht="14.25" x14ac:dyDescent="0.2">
      <c r="B39" s="262" t="s">
        <v>71</v>
      </c>
      <c r="C39" s="3">
        <v>110</v>
      </c>
      <c r="D39" t="s">
        <v>209</v>
      </c>
      <c r="E39">
        <v>165</v>
      </c>
      <c r="V39" s="16"/>
      <c r="W39" s="16"/>
      <c r="X39" s="16"/>
      <c r="Y39" s="16"/>
    </row>
    <row r="40" spans="1:25" ht="14.25" x14ac:dyDescent="0.2">
      <c r="A40" s="13"/>
      <c r="B40" s="262" t="s">
        <v>50</v>
      </c>
      <c r="C40" s="263">
        <v>100</v>
      </c>
      <c r="D40" s="13"/>
      <c r="E40" s="13">
        <v>150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6"/>
      <c r="W40" s="16"/>
      <c r="X40" s="16"/>
      <c r="Y40" s="16"/>
    </row>
    <row r="41" spans="1:25" ht="14.25" x14ac:dyDescent="0.2">
      <c r="B41" s="262" t="s">
        <v>51</v>
      </c>
      <c r="C41" s="3">
        <v>80</v>
      </c>
      <c r="E41">
        <v>120</v>
      </c>
      <c r="I41">
        <v>3465</v>
      </c>
      <c r="V41" s="16"/>
      <c r="W41" s="16"/>
      <c r="X41" s="16"/>
      <c r="Y41" s="16"/>
    </row>
    <row r="42" spans="1:25" ht="14.25" x14ac:dyDescent="0.2">
      <c r="B42" s="262" t="s">
        <v>52</v>
      </c>
      <c r="C42" s="3">
        <v>60</v>
      </c>
      <c r="E42">
        <v>90</v>
      </c>
      <c r="V42" s="21"/>
      <c r="W42" s="21"/>
      <c r="X42" s="21"/>
      <c r="Y42" s="21"/>
    </row>
    <row r="43" spans="1:25" x14ac:dyDescent="0.2">
      <c r="V43" s="21"/>
      <c r="W43" s="21"/>
      <c r="X43" s="21"/>
      <c r="Y43" s="21"/>
    </row>
    <row r="44" spans="1:25" x14ac:dyDescent="0.2">
      <c r="A44" s="1"/>
      <c r="V44" s="16"/>
      <c r="W44" s="16"/>
      <c r="X44" s="16"/>
      <c r="Y44" s="16"/>
    </row>
    <row r="45" spans="1:25" x14ac:dyDescent="0.2">
      <c r="A45" s="2"/>
      <c r="F45" s="11"/>
      <c r="V45" s="16"/>
      <c r="W45" s="16"/>
      <c r="X45" s="16"/>
      <c r="Y45" s="16"/>
    </row>
    <row r="46" spans="1:25" x14ac:dyDescent="0.2">
      <c r="A46" s="2"/>
      <c r="B46" s="2"/>
      <c r="F46" s="27"/>
      <c r="V46" s="16"/>
      <c r="W46" s="16"/>
      <c r="X46" s="16"/>
      <c r="Y46" s="16"/>
    </row>
    <row r="47" spans="1:25" x14ac:dyDescent="0.2">
      <c r="A47" s="2"/>
      <c r="B47" s="2"/>
      <c r="V47" s="16"/>
      <c r="W47" s="16"/>
      <c r="X47" s="16"/>
      <c r="Y47" s="16"/>
    </row>
    <row r="48" spans="1:25" x14ac:dyDescent="0.2">
      <c r="A48" s="2"/>
      <c r="B48" s="2"/>
      <c r="F48" s="11"/>
      <c r="V48" s="16"/>
      <c r="W48" s="16"/>
      <c r="X48" s="16"/>
      <c r="Y48" s="16"/>
    </row>
    <row r="49" spans="1:25" x14ac:dyDescent="0.2">
      <c r="A49" s="2"/>
      <c r="B49" s="2"/>
      <c r="F49" s="11"/>
      <c r="V49" s="16"/>
      <c r="W49" s="16"/>
      <c r="X49" s="16"/>
      <c r="Y49" s="16"/>
    </row>
    <row r="50" spans="1:25" x14ac:dyDescent="0.2">
      <c r="A50" s="2"/>
      <c r="B50" s="2"/>
      <c r="F50" s="11"/>
      <c r="V50" s="21"/>
      <c r="W50" s="21"/>
      <c r="X50" s="21"/>
      <c r="Y50" s="21"/>
    </row>
    <row r="51" spans="1:25" x14ac:dyDescent="0.2">
      <c r="A51" s="2"/>
      <c r="B51" s="2"/>
      <c r="F51" s="11"/>
      <c r="V51" s="16"/>
      <c r="W51" s="16"/>
      <c r="X51" s="16"/>
      <c r="Y51" s="16"/>
    </row>
    <row r="52" spans="1:25" x14ac:dyDescent="0.2">
      <c r="A52" s="2"/>
      <c r="B52" s="2"/>
      <c r="F52" s="11"/>
      <c r="V52" s="16"/>
      <c r="W52" s="16"/>
      <c r="X52" s="16"/>
      <c r="Y52" s="16"/>
    </row>
    <row r="53" spans="1:25" x14ac:dyDescent="0.2">
      <c r="A53" s="2"/>
      <c r="B53" s="2"/>
      <c r="F53" s="11"/>
      <c r="V53" s="16"/>
      <c r="W53" s="16"/>
      <c r="X53" s="16"/>
      <c r="Y53" s="16"/>
    </row>
    <row r="54" spans="1:25" x14ac:dyDescent="0.2">
      <c r="A54" s="2"/>
      <c r="B54" s="2"/>
      <c r="F54" s="11"/>
      <c r="V54" s="16"/>
      <c r="W54" s="16"/>
      <c r="X54" s="16"/>
      <c r="Y54" s="16"/>
    </row>
    <row r="55" spans="1:25" x14ac:dyDescent="0.2">
      <c r="A55" s="2"/>
      <c r="B55" s="2"/>
      <c r="F55" s="27"/>
      <c r="V55" s="16"/>
      <c r="W55" s="16"/>
      <c r="X55" s="16"/>
      <c r="Y55" s="16"/>
    </row>
    <row r="56" spans="1:25" x14ac:dyDescent="0.2">
      <c r="A56" s="2"/>
      <c r="B56" s="2"/>
      <c r="V56" s="16"/>
      <c r="W56" s="16"/>
      <c r="X56" s="16"/>
      <c r="Y56" s="16"/>
    </row>
    <row r="57" spans="1:25" x14ac:dyDescent="0.2">
      <c r="A57" s="2"/>
      <c r="B57" s="2"/>
      <c r="V57" s="16"/>
      <c r="W57" s="16"/>
      <c r="X57" s="16"/>
      <c r="Y57" s="16"/>
    </row>
    <row r="58" spans="1:25" x14ac:dyDescent="0.2">
      <c r="A58" s="2"/>
      <c r="B58" s="2"/>
    </row>
    <row r="89" spans="1:25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</sheetData>
  <sheetProtection algorithmName="SHA-512" hashValue="q7/g1qmZf58s2adm53BuQI1CHUf4EJUirRyU692JXT57fdUX3ytwPRK3zB4qA0Wlf4Oh2bMKnygXqmllrEwrZg==" saltValue="wNHnwbBMhF7/TqwaasLoZQ==" spinCount="100000" sheet="1" objects="1" scenarios="1"/>
  <sortState xmlns:xlrd2="http://schemas.microsoft.com/office/spreadsheetml/2017/richdata2" ref="Q2:Q21">
    <sortCondition ref="Q2:Q21"/>
  </sortState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2304-0BCD-4DD5-AB5A-D03F48CECD57}">
  <dimension ref="B1:O22"/>
  <sheetViews>
    <sheetView workbookViewId="0">
      <selection activeCell="M75" sqref="M75:M76"/>
    </sheetView>
  </sheetViews>
  <sheetFormatPr defaultRowHeight="12.75" x14ac:dyDescent="0.2"/>
  <cols>
    <col min="3" max="3" width="11.42578125" bestFit="1" customWidth="1"/>
    <col min="4" max="4" width="12.42578125" bestFit="1" customWidth="1"/>
  </cols>
  <sheetData>
    <row r="1" spans="2:15" x14ac:dyDescent="0.2">
      <c r="C1" t="s">
        <v>264</v>
      </c>
      <c r="D1">
        <v>501</v>
      </c>
    </row>
    <row r="2" spans="2:15" ht="15" x14ac:dyDescent="0.25">
      <c r="B2" t="s">
        <v>256</v>
      </c>
      <c r="C2" s="267">
        <v>8215757.5799999982</v>
      </c>
      <c r="D2" s="267">
        <v>20309503.340000004</v>
      </c>
      <c r="F2" s="221">
        <f t="shared" ref="F2:F9" si="0">C2/D2</f>
        <v>0.40452774459623969</v>
      </c>
    </row>
    <row r="3" spans="2:15" ht="15" x14ac:dyDescent="0.25">
      <c r="B3" t="s">
        <v>257</v>
      </c>
      <c r="C3" s="267">
        <v>1417180.49</v>
      </c>
      <c r="D3" s="267">
        <v>5911335.9499999993</v>
      </c>
      <c r="F3" s="221">
        <f t="shared" si="0"/>
        <v>0.23973946024840631</v>
      </c>
    </row>
    <row r="4" spans="2:15" ht="15" x14ac:dyDescent="0.25">
      <c r="B4" t="s">
        <v>258</v>
      </c>
      <c r="C4" s="267">
        <v>796485.49000000022</v>
      </c>
      <c r="D4" s="267">
        <v>1707828</v>
      </c>
      <c r="F4" s="221">
        <f t="shared" si="0"/>
        <v>0.46637336429663889</v>
      </c>
    </row>
    <row r="5" spans="2:15" ht="15" x14ac:dyDescent="0.25">
      <c r="B5" t="s">
        <v>259</v>
      </c>
      <c r="C5" s="267">
        <v>3848096.3200000008</v>
      </c>
      <c r="D5" s="267">
        <v>9108782.3500000015</v>
      </c>
      <c r="F5" s="221">
        <f t="shared" si="0"/>
        <v>0.42246001409837181</v>
      </c>
    </row>
    <row r="6" spans="2:15" ht="15" x14ac:dyDescent="0.25">
      <c r="B6" t="s">
        <v>260</v>
      </c>
      <c r="C6" s="267">
        <v>4009755.060000001</v>
      </c>
      <c r="D6" s="267">
        <v>10490477.57</v>
      </c>
      <c r="F6" s="221">
        <f t="shared" si="0"/>
        <v>0.38222807619996663</v>
      </c>
    </row>
    <row r="7" spans="2:15" ht="15" x14ac:dyDescent="0.25">
      <c r="B7" t="s">
        <v>261</v>
      </c>
      <c r="C7" s="267">
        <v>2293148.4800000004</v>
      </c>
      <c r="D7" s="267">
        <v>6108910.1700000009</v>
      </c>
      <c r="F7" s="221">
        <f t="shared" si="0"/>
        <v>0.37537767231564972</v>
      </c>
    </row>
    <row r="8" spans="2:15" ht="15" x14ac:dyDescent="0.25">
      <c r="B8" t="s">
        <v>262</v>
      </c>
      <c r="C8" s="267">
        <v>9522926.709999999</v>
      </c>
      <c r="D8" s="267">
        <v>10929626.279999999</v>
      </c>
      <c r="F8" s="221">
        <f t="shared" si="0"/>
        <v>0.87129481521485286</v>
      </c>
    </row>
    <row r="9" spans="2:15" ht="15" x14ac:dyDescent="0.25">
      <c r="B9" t="s">
        <v>263</v>
      </c>
      <c r="C9" s="267">
        <v>5742458.9599999981</v>
      </c>
      <c r="D9" s="267">
        <v>3099051.46</v>
      </c>
      <c r="F9" s="221">
        <f t="shared" si="0"/>
        <v>1.8529730900305856</v>
      </c>
    </row>
    <row r="14" spans="2:15" x14ac:dyDescent="0.2">
      <c r="O14" s="268" t="s">
        <v>259</v>
      </c>
    </row>
    <row r="15" spans="2:15" x14ac:dyDescent="0.2">
      <c r="O15" s="268" t="s">
        <v>262</v>
      </c>
    </row>
    <row r="16" spans="2:15" x14ac:dyDescent="0.2">
      <c r="O16" s="268" t="s">
        <v>256</v>
      </c>
    </row>
    <row r="17" spans="14:15" x14ac:dyDescent="0.2">
      <c r="O17" s="268" t="s">
        <v>257</v>
      </c>
    </row>
    <row r="18" spans="14:15" x14ac:dyDescent="0.2">
      <c r="O18" s="268" t="s">
        <v>261</v>
      </c>
    </row>
    <row r="19" spans="14:15" x14ac:dyDescent="0.2">
      <c r="O19" s="268" t="s">
        <v>260</v>
      </c>
    </row>
    <row r="20" spans="14:15" x14ac:dyDescent="0.2">
      <c r="O20" s="268" t="s">
        <v>258</v>
      </c>
    </row>
    <row r="21" spans="14:15" x14ac:dyDescent="0.2">
      <c r="O21" s="268" t="s">
        <v>263</v>
      </c>
    </row>
    <row r="22" spans="14:15" ht="15" x14ac:dyDescent="0.25">
      <c r="N22" s="267">
        <v>200538.7</v>
      </c>
      <c r="O22" s="268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28"/>
  <sheetViews>
    <sheetView workbookViewId="0">
      <selection activeCell="M75" sqref="M75:M76"/>
    </sheetView>
  </sheetViews>
  <sheetFormatPr defaultRowHeight="12.75" x14ac:dyDescent="0.2"/>
  <cols>
    <col min="2" max="2" width="14" bestFit="1" customWidth="1"/>
    <col min="3" max="3" width="10.140625" bestFit="1" customWidth="1"/>
    <col min="4" max="4" width="10.5703125" bestFit="1" customWidth="1"/>
    <col min="5" max="6" width="11" bestFit="1" customWidth="1"/>
    <col min="16" max="16" width="41.85546875" bestFit="1" customWidth="1"/>
  </cols>
  <sheetData>
    <row r="2" spans="2:17" ht="14.25" x14ac:dyDescent="0.2">
      <c r="B2" s="170" t="s">
        <v>124</v>
      </c>
      <c r="C2" s="170" t="s">
        <v>125</v>
      </c>
      <c r="D2" s="170" t="s">
        <v>126</v>
      </c>
      <c r="E2" s="170" t="s">
        <v>127</v>
      </c>
      <c r="F2" s="170" t="s">
        <v>190</v>
      </c>
    </row>
    <row r="4" spans="2:17" x14ac:dyDescent="0.2">
      <c r="B4" t="s">
        <v>182</v>
      </c>
      <c r="C4" t="s">
        <v>176</v>
      </c>
      <c r="D4" t="s">
        <v>177</v>
      </c>
      <c r="E4" t="s">
        <v>178</v>
      </c>
      <c r="F4" t="s">
        <v>189</v>
      </c>
      <c r="P4" s="13" t="s">
        <v>79</v>
      </c>
      <c r="Q4" s="221">
        <v>0.16086296451867702</v>
      </c>
    </row>
    <row r="5" spans="2:17" x14ac:dyDescent="0.2">
      <c r="P5" t="s">
        <v>12</v>
      </c>
      <c r="Q5" s="221">
        <v>0.1379971964035501</v>
      </c>
    </row>
    <row r="6" spans="2:17" x14ac:dyDescent="0.2">
      <c r="P6" t="s">
        <v>13</v>
      </c>
      <c r="Q6" s="221">
        <v>0.25085781993618356</v>
      </c>
    </row>
    <row r="7" spans="2:17" x14ac:dyDescent="0.2">
      <c r="B7" t="s">
        <v>116</v>
      </c>
      <c r="P7" t="s">
        <v>18</v>
      </c>
      <c r="Q7" s="221">
        <v>0.20324163214477506</v>
      </c>
    </row>
    <row r="8" spans="2:17" x14ac:dyDescent="0.2">
      <c r="B8" t="s">
        <v>179</v>
      </c>
      <c r="P8" t="s">
        <v>78</v>
      </c>
      <c r="Q8" s="221">
        <v>0.15837205178823921</v>
      </c>
    </row>
    <row r="9" spans="2:17" x14ac:dyDescent="0.2">
      <c r="P9" t="s">
        <v>15</v>
      </c>
      <c r="Q9" s="221">
        <v>0.16351402378153351</v>
      </c>
    </row>
    <row r="10" spans="2:17" x14ac:dyDescent="0.2">
      <c r="P10" t="s">
        <v>22</v>
      </c>
      <c r="Q10" s="221">
        <v>0.20871376476943054</v>
      </c>
    </row>
    <row r="11" spans="2:17" x14ac:dyDescent="0.2">
      <c r="B11" t="s">
        <v>120</v>
      </c>
    </row>
    <row r="12" spans="2:17" x14ac:dyDescent="0.2">
      <c r="B12" t="s">
        <v>180</v>
      </c>
    </row>
    <row r="14" spans="2:17" x14ac:dyDescent="0.2">
      <c r="B14" t="s">
        <v>193</v>
      </c>
    </row>
    <row r="15" spans="2:17" x14ac:dyDescent="0.2">
      <c r="B15" t="s">
        <v>181</v>
      </c>
    </row>
    <row r="18" spans="2:13" x14ac:dyDescent="0.2">
      <c r="B18" t="s">
        <v>183</v>
      </c>
    </row>
    <row r="19" spans="2:13" x14ac:dyDescent="0.2">
      <c r="B19" s="9" t="s">
        <v>184</v>
      </c>
    </row>
    <row r="22" spans="2:13" ht="13.5" thickBot="1" x14ac:dyDescent="0.25"/>
    <row r="23" spans="2:13" ht="14.25" thickTop="1" thickBot="1" x14ac:dyDescent="0.25">
      <c r="B23" s="222" t="s">
        <v>191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</row>
    <row r="24" spans="2:13" ht="17.25" thickTop="1" thickBot="1" x14ac:dyDescent="0.25">
      <c r="B24" s="87" t="s">
        <v>186</v>
      </c>
    </row>
    <row r="25" spans="2:13" ht="13.5" thickTop="1" x14ac:dyDescent="0.2"/>
    <row r="27" spans="2:13" x14ac:dyDescent="0.2">
      <c r="B27" t="s">
        <v>153</v>
      </c>
    </row>
    <row r="28" spans="2:13" x14ac:dyDescent="0.2">
      <c r="B28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31" workbookViewId="0">
      <selection activeCell="M75" sqref="M75:M76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15:M39"/>
  <sheetViews>
    <sheetView workbookViewId="0">
      <selection activeCell="M75" sqref="M75:M76"/>
    </sheetView>
  </sheetViews>
  <sheetFormatPr defaultRowHeight="12.75" x14ac:dyDescent="0.2"/>
  <sheetData>
    <row r="15" spans="9:10" x14ac:dyDescent="0.2">
      <c r="I15">
        <v>20</v>
      </c>
      <c r="J15">
        <f>I15*25%</f>
        <v>5</v>
      </c>
    </row>
    <row r="25" spans="8:13" x14ac:dyDescent="0.2">
      <c r="H25" t="s">
        <v>208</v>
      </c>
      <c r="I25">
        <v>83613019</v>
      </c>
      <c r="K25">
        <v>14895152</v>
      </c>
      <c r="M25" s="246">
        <f>K25/I25</f>
        <v>0.17814393234622947</v>
      </c>
    </row>
    <row r="26" spans="8:13" x14ac:dyDescent="0.2">
      <c r="H26">
        <v>13</v>
      </c>
      <c r="I26">
        <v>6686917</v>
      </c>
      <c r="K26">
        <v>1254817</v>
      </c>
      <c r="M26" s="246">
        <f t="shared" ref="M26:M29" si="0">K26/I26</f>
        <v>0.18765254600887074</v>
      </c>
    </row>
    <row r="27" spans="8:13" x14ac:dyDescent="0.2">
      <c r="H27" t="s">
        <v>209</v>
      </c>
      <c r="I27">
        <v>4342995</v>
      </c>
      <c r="K27">
        <v>253330</v>
      </c>
      <c r="M27" s="246">
        <f t="shared" si="0"/>
        <v>5.833071417305339E-2</v>
      </c>
    </row>
    <row r="28" spans="8:13" x14ac:dyDescent="0.2">
      <c r="M28" s="27"/>
    </row>
    <row r="29" spans="8:13" x14ac:dyDescent="0.2">
      <c r="I29">
        <f>SUM(I23:I26)</f>
        <v>90299936</v>
      </c>
      <c r="K29">
        <f>SUM(K23:K26)</f>
        <v>16149969</v>
      </c>
      <c r="M29" s="246">
        <f t="shared" si="0"/>
        <v>0.17884806695765543</v>
      </c>
    </row>
    <row r="34" spans="12:13" x14ac:dyDescent="0.2">
      <c r="L34">
        <f>ST!M59+ST!M60</f>
        <v>0</v>
      </c>
    </row>
    <row r="35" spans="12:13" x14ac:dyDescent="0.2">
      <c r="L35">
        <f>L34*ST!J126</f>
        <v>0</v>
      </c>
      <c r="M35">
        <f>0.35*L34</f>
        <v>0</v>
      </c>
    </row>
    <row r="36" spans="12:13" x14ac:dyDescent="0.2">
      <c r="M36">
        <f>L34*0.354</f>
        <v>0</v>
      </c>
    </row>
    <row r="39" spans="12:13" x14ac:dyDescent="0.2">
      <c r="L39" t="e">
        <f>ST!M126/Arkusz4!L34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12</vt:i4>
      </vt:variant>
    </vt:vector>
  </HeadingPairs>
  <TitlesOfParts>
    <vt:vector size="20" baseType="lpstr">
      <vt:lpstr>ST</vt:lpstr>
      <vt:lpstr>rozliczenie</vt:lpstr>
      <vt:lpstr>Lista uczestników</vt:lpstr>
      <vt:lpstr>Arkusz1</vt:lpstr>
      <vt:lpstr>Arkusz5</vt:lpstr>
      <vt:lpstr>Arkusz2</vt:lpstr>
      <vt:lpstr>Arkusz3</vt:lpstr>
      <vt:lpstr>Arkusz4</vt:lpstr>
      <vt:lpstr>anek</vt:lpstr>
      <vt:lpstr>ins</vt:lpstr>
      <vt:lpstr>kier</vt:lpstr>
      <vt:lpstr>mc</vt:lpstr>
      <vt:lpstr>rozliczenie!Obszar_wydruku</vt:lpstr>
      <vt:lpstr>ST!Obszar_wydruku</vt:lpstr>
      <vt:lpstr>poz</vt:lpstr>
      <vt:lpstr>proc</vt:lpstr>
      <vt:lpstr>rok</vt:lpstr>
      <vt:lpstr>typ</vt:lpstr>
      <vt:lpstr>wydz</vt:lpstr>
      <vt:lpstr>wydz1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 Chruścińska</cp:lastModifiedBy>
  <cp:lastPrinted>2019-02-21T07:10:56Z</cp:lastPrinted>
  <dcterms:created xsi:type="dcterms:W3CDTF">2010-10-28T08:08:25Z</dcterms:created>
  <dcterms:modified xsi:type="dcterms:W3CDTF">2026-01-14T11:08:47Z</dcterms:modified>
</cp:coreProperties>
</file>