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ikchr\Desktop\kosztorys\"/>
    </mc:Choice>
  </mc:AlternateContent>
  <xr:revisionPtr revIDLastSave="0" documentId="13_ncr:1_{EE161DBA-C26C-468D-8314-B72B2014342F}" xr6:coauthVersionLast="47" xr6:coauthVersionMax="47" xr10:uidLastSave="{00000000-0000-0000-0000-000000000000}"/>
  <workbookProtection workbookAlgorithmName="SHA-512" workbookHashValue="oTbK68tfAsupG9+i90g0raV1LmePNrGOhhw2IkAg1M0M4ZePbAwdRvuyM2SlUxqdvanRehXkNnD4WCP75KRvOg==" workbookSaltValue="42kvEZRR8Ki0RbHlvV7kPQ==" workbookSpinCount="100000" lockStructure="1"/>
  <bookViews>
    <workbookView xWindow="-120" yWindow="-120" windowWidth="29040" windowHeight="15840" xr2:uid="{00000000-000D-0000-FFFF-FFFF00000000}"/>
  </bookViews>
  <sheets>
    <sheet name="kosztorys podypl." sheetId="4" r:id="rId1"/>
    <sheet name="rozliczenie" sheetId="11" r:id="rId2"/>
    <sheet name="Arkusz1" sheetId="3" state="hidden" r:id="rId3"/>
    <sheet name="Arkusz2" sheetId="7" state="hidden" r:id="rId4"/>
    <sheet name="Arkusz4" sheetId="9" state="hidden" r:id="rId5"/>
    <sheet name="Arkusz3" sheetId="8" state="hidden" r:id="rId6"/>
  </sheets>
  <definedNames>
    <definedName name="anek">Arkusz1!$W$2:$W$7</definedName>
    <definedName name="forma">Arkusz1!$M$20:$M$21</definedName>
    <definedName name="ins">Arkusz1!$Q$2:$Q$30</definedName>
    <definedName name="kier">Arkusz1!$S$2:$S$38</definedName>
    <definedName name="mc">Arkusz1!$J$2:$J$13</definedName>
    <definedName name="_xlnm.Print_Area" localSheetId="0">'kosztorys podypl.'!$B$2:$L$117</definedName>
    <definedName name="_xlnm.Print_Area" localSheetId="1">rozliczenie!$B$2:$M$117</definedName>
    <definedName name="pon">Arkusz1!$C$20:$C$30</definedName>
    <definedName name="poz">Arkusz1!$U$2:$U$5</definedName>
    <definedName name="proc">Arkusz2!$P$4:$Q$10</definedName>
    <definedName name="rok">Arkusz1!$K$2:$K$11</definedName>
    <definedName name="typ">Arkusz1!$M$2:$M$5</definedName>
    <definedName name="wydz">Arkusz1!$O$2:$O$10</definedName>
    <definedName name="wydz1">Arkusz1!$O$2:$P$10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4" l="1"/>
  <c r="E45" i="4"/>
  <c r="J95" i="4"/>
  <c r="J95" i="11" s="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5" i="11"/>
  <c r="C76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75" i="11"/>
  <c r="D59" i="11"/>
  <c r="I52" i="11"/>
  <c r="I53" i="11"/>
  <c r="I54" i="11"/>
  <c r="I51" i="11"/>
  <c r="H54" i="11"/>
  <c r="H53" i="11"/>
  <c r="G52" i="11"/>
  <c r="G53" i="11"/>
  <c r="G54" i="11"/>
  <c r="G51" i="11"/>
  <c r="F54" i="11"/>
  <c r="F53" i="11"/>
  <c r="I38" i="11"/>
  <c r="I39" i="11"/>
  <c r="I40" i="11"/>
  <c r="I41" i="11"/>
  <c r="I37" i="11"/>
  <c r="G38" i="11"/>
  <c r="H38" i="11"/>
  <c r="G39" i="11"/>
  <c r="H39" i="11"/>
  <c r="G40" i="11"/>
  <c r="H40" i="11"/>
  <c r="G41" i="11"/>
  <c r="H41" i="11"/>
  <c r="H37" i="11"/>
  <c r="G37" i="11"/>
  <c r="G24" i="11"/>
  <c r="H24" i="11"/>
  <c r="I24" i="11"/>
  <c r="G25" i="11"/>
  <c r="H25" i="11"/>
  <c r="I25" i="11"/>
  <c r="F25" i="11"/>
  <c r="F24" i="11"/>
  <c r="E25" i="11"/>
  <c r="E24" i="11"/>
  <c r="J14" i="11"/>
  <c r="I14" i="11"/>
  <c r="F14" i="11"/>
  <c r="E14" i="11"/>
  <c r="F13" i="11"/>
  <c r="F12" i="11"/>
  <c r="F11" i="11"/>
  <c r="F10" i="11"/>
  <c r="L7" i="11"/>
  <c r="H7" i="11"/>
  <c r="F18" i="11"/>
  <c r="J96" i="4" l="1"/>
  <c r="J96" i="11" s="1"/>
  <c r="M30" i="11"/>
  <c r="M73" i="11"/>
  <c r="M55" i="11"/>
  <c r="M44" i="11"/>
  <c r="L73" i="11"/>
  <c r="L70" i="11"/>
  <c r="J68" i="11"/>
  <c r="J64" i="11"/>
  <c r="L60" i="11"/>
  <c r="L59" i="11"/>
  <c r="E56" i="11"/>
  <c r="L56" i="11" s="1"/>
  <c r="L54" i="11"/>
  <c r="L53" i="11"/>
  <c r="L52" i="11"/>
  <c r="L51" i="11"/>
  <c r="E45" i="11"/>
  <c r="J66" i="11" s="1"/>
  <c r="K43" i="11"/>
  <c r="K42" i="11"/>
  <c r="K41" i="11"/>
  <c r="K40" i="11"/>
  <c r="K39" i="11"/>
  <c r="K38" i="11"/>
  <c r="K37" i="11"/>
  <c r="L28" i="11"/>
  <c r="L27" i="11"/>
  <c r="E16" i="11"/>
  <c r="L55" i="11" l="1"/>
  <c r="K44" i="11"/>
  <c r="L63" i="11" s="1"/>
  <c r="L64" i="11" s="1"/>
  <c r="L30" i="11"/>
  <c r="M99" i="11"/>
  <c r="M101" i="11" s="1"/>
  <c r="F61" i="11"/>
  <c r="L61" i="11" s="1"/>
  <c r="E14" i="3"/>
  <c r="L27" i="4"/>
  <c r="E16" i="4"/>
  <c r="L30" i="4" l="1"/>
  <c r="S14" i="9"/>
  <c r="S15" i="9" s="1"/>
  <c r="S16" i="9" s="1"/>
  <c r="S17" i="9" s="1"/>
  <c r="U11" i="9"/>
  <c r="V11" i="9"/>
  <c r="W11" i="9"/>
  <c r="X11" i="9"/>
  <c r="T11" i="9"/>
  <c r="T13" i="9" s="1"/>
  <c r="T19" i="9" s="1"/>
  <c r="P32" i="9"/>
  <c r="P34" i="9" s="1"/>
  <c r="P31" i="9"/>
  <c r="Q32" i="9" s="1"/>
  <c r="D27" i="9"/>
  <c r="T25" i="9" l="1"/>
  <c r="X17" i="9"/>
  <c r="W16" i="9"/>
  <c r="V15" i="9"/>
  <c r="V25" i="9" s="1"/>
  <c r="U14" i="9"/>
  <c r="U25" i="9" s="1"/>
  <c r="O17" i="9"/>
  <c r="O14" i="9"/>
  <c r="H10" i="9"/>
  <c r="D10" i="9"/>
  <c r="C12" i="9"/>
  <c r="E12" i="9" s="1"/>
  <c r="D11" i="9"/>
  <c r="H9" i="9"/>
  <c r="H28" i="9" s="1"/>
  <c r="G9" i="9"/>
  <c r="G28" i="9" s="1"/>
  <c r="F9" i="9"/>
  <c r="F28" i="9" s="1"/>
  <c r="E9" i="9"/>
  <c r="E28" i="9" s="1"/>
  <c r="D9" i="9"/>
  <c r="D28" i="9" s="1"/>
  <c r="E10" i="9" l="1"/>
  <c r="G10" i="9"/>
  <c r="F10" i="9"/>
  <c r="V19" i="9"/>
  <c r="W19" i="9"/>
  <c r="W25" i="9"/>
  <c r="X19" i="9"/>
  <c r="X25" i="9"/>
  <c r="U19" i="9"/>
  <c r="O18" i="9"/>
  <c r="E17" i="9"/>
  <c r="E22" i="9" s="1"/>
  <c r="C13" i="9"/>
  <c r="F13" i="9" s="1"/>
  <c r="D17" i="9"/>
  <c r="D22" i="9" s="1"/>
  <c r="F7" i="3"/>
  <c r="G7" i="3" s="1"/>
  <c r="F8" i="3"/>
  <c r="G8" i="3" s="1"/>
  <c r="F6" i="3"/>
  <c r="L41" i="11" s="1"/>
  <c r="F3" i="3"/>
  <c r="L38" i="11" s="1"/>
  <c r="F4" i="3"/>
  <c r="G4" i="3" s="1"/>
  <c r="F5" i="3"/>
  <c r="L40" i="11" s="1"/>
  <c r="F2" i="3"/>
  <c r="G2" i="3" s="1"/>
  <c r="F45" i="3"/>
  <c r="H45" i="3" s="1"/>
  <c r="C45" i="3" s="1"/>
  <c r="F44" i="3"/>
  <c r="H44" i="3" s="1"/>
  <c r="C44" i="3" s="1"/>
  <c r="F43" i="3"/>
  <c r="H43" i="3" s="1"/>
  <c r="C43" i="3" s="1"/>
  <c r="F42" i="3"/>
  <c r="H42" i="3" s="1"/>
  <c r="C42" i="3" s="1"/>
  <c r="F41" i="3"/>
  <c r="H41" i="3" s="1"/>
  <c r="C41" i="3" s="1"/>
  <c r="F40" i="3"/>
  <c r="H40" i="3" s="1"/>
  <c r="C40" i="3" s="1"/>
  <c r="F39" i="3"/>
  <c r="H39" i="3" s="1"/>
  <c r="C39" i="3" s="1"/>
  <c r="F38" i="3"/>
  <c r="H38" i="3" s="1"/>
  <c r="C38" i="3" s="1"/>
  <c r="F37" i="3"/>
  <c r="H37" i="3" s="1"/>
  <c r="C37" i="3" s="1"/>
  <c r="F36" i="3"/>
  <c r="H36" i="3" s="1"/>
  <c r="C36" i="3" s="1"/>
  <c r="F35" i="3"/>
  <c r="H35" i="3" s="1"/>
  <c r="C35" i="3" s="1"/>
  <c r="L73" i="4"/>
  <c r="L70" i="4"/>
  <c r="G5" i="3" l="1"/>
  <c r="G3" i="3"/>
  <c r="G6" i="3"/>
  <c r="L42" i="11"/>
  <c r="L37" i="11"/>
  <c r="L43" i="11"/>
  <c r="L40" i="4"/>
  <c r="L41" i="4"/>
  <c r="L39" i="11"/>
  <c r="C14" i="9"/>
  <c r="G14" i="9" s="1"/>
  <c r="G17" i="9" s="1"/>
  <c r="G22" i="9" s="1"/>
  <c r="L38" i="4"/>
  <c r="F17" i="9"/>
  <c r="F22" i="9" s="1"/>
  <c r="L44" i="11" l="1"/>
  <c r="L45" i="11" s="1"/>
  <c r="C15" i="9"/>
  <c r="H15" i="9" s="1"/>
  <c r="H17" i="9" s="1"/>
  <c r="H22" i="9" s="1"/>
  <c r="L43" i="4"/>
  <c r="L37" i="4"/>
  <c r="L42" i="4"/>
  <c r="L39" i="4"/>
  <c r="I23" i="4"/>
  <c r="H23" i="4"/>
  <c r="G23" i="4"/>
  <c r="F23" i="4"/>
  <c r="E23" i="4"/>
  <c r="L65" i="11" l="1"/>
  <c r="L66" i="11" s="1"/>
  <c r="L67" i="11"/>
  <c r="L68" i="11" s="1"/>
  <c r="C24" i="4"/>
  <c r="L69" i="11" l="1"/>
  <c r="L71" i="11"/>
  <c r="L95" i="11"/>
  <c r="L96" i="11" s="1"/>
  <c r="F61" i="4"/>
  <c r="L99" i="11" l="1"/>
  <c r="L101" i="11" s="1"/>
  <c r="J68" i="4"/>
  <c r="J66" i="4"/>
  <c r="J64" i="4"/>
  <c r="E56" i="4"/>
  <c r="K38" i="4" l="1"/>
  <c r="K39" i="4"/>
  <c r="K40" i="4"/>
  <c r="K41" i="4"/>
  <c r="K42" i="4"/>
  <c r="K43" i="4"/>
  <c r="K37" i="4"/>
  <c r="K44" i="4" l="1"/>
  <c r="L63" i="4" s="1"/>
  <c r="L60" i="4"/>
  <c r="L59" i="4"/>
  <c r="L56" i="4"/>
  <c r="L54" i="4"/>
  <c r="L53" i="4"/>
  <c r="L52" i="4"/>
  <c r="L51" i="4"/>
  <c r="L64" i="4" l="1"/>
  <c r="L55" i="4"/>
  <c r="L61" i="4"/>
  <c r="L44" i="4" l="1"/>
  <c r="L65" i="4" l="1"/>
  <c r="L45" i="4"/>
  <c r="L67" i="4"/>
  <c r="L68" i="4" l="1"/>
  <c r="L66" i="4"/>
  <c r="L69" i="4"/>
  <c r="L95" i="4" l="1"/>
  <c r="L96" i="4" s="1"/>
  <c r="L71" i="4"/>
  <c r="L99" i="4" l="1"/>
  <c r="L101" i="4" s="1"/>
  <c r="H23" i="11" l="1"/>
  <c r="C24" i="11"/>
  <c r="E23" i="11"/>
  <c r="F23" i="11"/>
  <c r="G23" i="11"/>
  <c r="I23" i="11"/>
</calcChain>
</file>

<file path=xl/sharedStrings.xml><?xml version="1.0" encoding="utf-8"?>
<sst xmlns="http://schemas.openxmlformats.org/spreadsheetml/2006/main" count="379" uniqueCount="238">
  <si>
    <t>Kielce, dnia</t>
  </si>
  <si>
    <t>KOSZTORYS STUDIÓW NIESTACJONARNYCH</t>
  </si>
  <si>
    <t>KOSZTORYS STUDIÓW PODYPLOMOWYCH</t>
  </si>
  <si>
    <t>Nr</t>
  </si>
  <si>
    <t>aneks nr</t>
  </si>
  <si>
    <t>-----------------------</t>
  </si>
  <si>
    <t>----------------------------------------------------------------</t>
  </si>
  <si>
    <t>STYCZEŃ</t>
  </si>
  <si>
    <t>LUTY</t>
  </si>
  <si>
    <t>miesiąc</t>
  </si>
  <si>
    <t>rok</t>
  </si>
  <si>
    <t>WYDZIAŁ HUMANISTYCZNY</t>
  </si>
  <si>
    <t>WYDZIAŁ MATEMATYCZNO - PRZYRODNICZY</t>
  </si>
  <si>
    <t>MARZEC</t>
  </si>
  <si>
    <t>WYDZIAŁ PEDAGOGICZNY I ARTYSTYCZNY</t>
  </si>
  <si>
    <t>INSTYTUT HISTORII</t>
  </si>
  <si>
    <t>KWIECIEŃ</t>
  </si>
  <si>
    <t>WYDZIAŁ NAUK O ZDROWIU</t>
  </si>
  <si>
    <t>I. PLANOWANE PRZYCHODY</t>
  </si>
  <si>
    <t>[w złotych]</t>
  </si>
  <si>
    <t>MAJ</t>
  </si>
  <si>
    <t>WYDZIAŁ ZARZĄDZANIA I ADMINISTRACJI</t>
  </si>
  <si>
    <t>CZERWIEC</t>
  </si>
  <si>
    <t>LIPIEC</t>
  </si>
  <si>
    <t>INSTYTUT FIZYKI</t>
  </si>
  <si>
    <t>SIERPIEŃ</t>
  </si>
  <si>
    <t>INSTYTUT CHEMII</t>
  </si>
  <si>
    <t>Liczba uczestników:</t>
  </si>
  <si>
    <t>WRZESIEŃ</t>
  </si>
  <si>
    <t>INSTYTUT BIOLOGII</t>
  </si>
  <si>
    <t>LISTOPAD</t>
  </si>
  <si>
    <t>GRUDZIEŃ</t>
  </si>
  <si>
    <t>stanowisko</t>
  </si>
  <si>
    <t>INSTYTUT NAUK POLITYCZNYCH</t>
  </si>
  <si>
    <t xml:space="preserve">INSTYTUT ZARZĄDZANIA </t>
  </si>
  <si>
    <t>Odpis na ZFŚS</t>
  </si>
  <si>
    <t>PENSUM</t>
  </si>
  <si>
    <t>PONADWYMIAROWE</t>
  </si>
  <si>
    <t>Liczba godzin</t>
  </si>
  <si>
    <t>Stawka za godz.</t>
  </si>
  <si>
    <t>Razem:</t>
  </si>
  <si>
    <t>pracownicy UJK</t>
  </si>
  <si>
    <t>pracownicy "obcy"</t>
  </si>
  <si>
    <t>według obowiązujących stawek; dotyczy pracowników UJK niebędących nauczycielami</t>
  </si>
  <si>
    <t>a)</t>
  </si>
  <si>
    <t>doktor habilitowany</t>
  </si>
  <si>
    <t>doktor</t>
  </si>
  <si>
    <t>magister</t>
  </si>
  <si>
    <t>prof.</t>
  </si>
  <si>
    <t>profesor zw.</t>
  </si>
  <si>
    <t>profesor nadzw.</t>
  </si>
  <si>
    <t>adiunkt</t>
  </si>
  <si>
    <t>dr hab.</t>
  </si>
  <si>
    <t>dr</t>
  </si>
  <si>
    <t>asystent</t>
  </si>
  <si>
    <t>starszy wykładowca</t>
  </si>
  <si>
    <t>tytuł / stopień naukowy</t>
  </si>
  <si>
    <t>wykładowca</t>
  </si>
  <si>
    <t>lektor, instruktor</t>
  </si>
  <si>
    <t>mgr</t>
  </si>
  <si>
    <t>kierunek</t>
  </si>
  <si>
    <t>Jednostka prowadząca</t>
  </si>
  <si>
    <t>Wydział</t>
  </si>
  <si>
    <t>według obowiązujących stawek</t>
  </si>
  <si>
    <t xml:space="preserve">    koszty ZUS</t>
  </si>
  <si>
    <t>profesor</t>
  </si>
  <si>
    <t>koszty ZUS</t>
  </si>
  <si>
    <t>Wynagrodzenia za zajęcia - NAUCZYCIELE UJK</t>
  </si>
  <si>
    <t>studia drugiego stopnia</t>
  </si>
  <si>
    <t>studia pierwszego stopnia</t>
  </si>
  <si>
    <t>jednolite studia magisterskie</t>
  </si>
  <si>
    <t>WYDZIAŁ NAUK SPOŁECZNYCH</t>
  </si>
  <si>
    <t>WYDZIAŁ FILOLOGICZNO - HISTORYCZNY</t>
  </si>
  <si>
    <t>Administracja</t>
  </si>
  <si>
    <t>Bezpieczeństwo narodowe</t>
  </si>
  <si>
    <t>Biotechnologia</t>
  </si>
  <si>
    <t>Dziennikarstwo i komunikacja społeczna</t>
  </si>
  <si>
    <t>Fizyka techniczna</t>
  </si>
  <si>
    <t>Informatyka</t>
  </si>
  <si>
    <t>Informatyka i ekonometria</t>
  </si>
  <si>
    <t>Logistyka</t>
  </si>
  <si>
    <t>Praca socjalna</t>
  </si>
  <si>
    <t>Ratownictwo medyczne</t>
  </si>
  <si>
    <t>Rosjoznawstwo</t>
  </si>
  <si>
    <t>Socjologia</t>
  </si>
  <si>
    <t>Wzornictwo</t>
  </si>
  <si>
    <t>Biologia</t>
  </si>
  <si>
    <t>Chemia</t>
  </si>
  <si>
    <t>Edukacja artystyczna w zakresie sztuki muzycznej</t>
  </si>
  <si>
    <t>Edukacja artystyczna w zakresie sztuk plastycznych</t>
  </si>
  <si>
    <t>Ekonomia</t>
  </si>
  <si>
    <t>Filologia polska</t>
  </si>
  <si>
    <t>Fizjoterapia</t>
  </si>
  <si>
    <t>Fizyka</t>
  </si>
  <si>
    <t>Geografia</t>
  </si>
  <si>
    <t>Historia</t>
  </si>
  <si>
    <t>Informacja naukowa i bibliotekoznawstwo</t>
  </si>
  <si>
    <t>Matematyka</t>
  </si>
  <si>
    <t>Ochrona Środowiska</t>
  </si>
  <si>
    <t>Pedagogika</t>
  </si>
  <si>
    <t>Pielęgniarstwo</t>
  </si>
  <si>
    <t>Politologia</t>
  </si>
  <si>
    <t>Położnictwo</t>
  </si>
  <si>
    <t>Stosunki międzynarodowe</t>
  </si>
  <si>
    <t>Zarządzanie</t>
  </si>
  <si>
    <t>Zdrowie publiczne</t>
  </si>
  <si>
    <t>PAŹDZIERNIK</t>
  </si>
  <si>
    <t>Filologia</t>
  </si>
  <si>
    <t xml:space="preserve">Nazwa studiów podyplomowych / kursu: </t>
  </si>
  <si>
    <r>
      <t xml:space="preserve">Instytut </t>
    </r>
    <r>
      <rPr>
        <sz val="11"/>
        <rFont val="Arial"/>
        <family val="2"/>
        <charset val="238"/>
      </rPr>
      <t>(jednostka prowadząca)</t>
    </r>
    <r>
      <rPr>
        <sz val="11"/>
        <rFont val="Arial"/>
        <family val="2"/>
        <charset val="238"/>
      </rPr>
      <t xml:space="preserve"> :</t>
    </r>
  </si>
  <si>
    <t xml:space="preserve">Wydział / Jednostka Międzywydziałowa: </t>
  </si>
  <si>
    <t>(ilość semestrów / liczba godzin)</t>
  </si>
  <si>
    <r>
      <t xml:space="preserve">Termin rozpoczęcia: </t>
    </r>
    <r>
      <rPr>
        <i/>
        <sz val="11"/>
        <rFont val="Arial"/>
        <family val="2"/>
        <charset val="238"/>
      </rPr>
      <t/>
    </r>
  </si>
  <si>
    <r>
      <t xml:space="preserve">Termin zakończenia: </t>
    </r>
    <r>
      <rPr>
        <i/>
        <sz val="11"/>
        <rFont val="Arial"/>
        <family val="2"/>
        <charset val="238"/>
      </rPr>
      <t/>
    </r>
  </si>
  <si>
    <t>Łączna liczba godzin:</t>
  </si>
  <si>
    <t>semestr I</t>
  </si>
  <si>
    <t>semestr II</t>
  </si>
  <si>
    <t>semestr III</t>
  </si>
  <si>
    <t>semestr IV</t>
  </si>
  <si>
    <t>1.</t>
  </si>
  <si>
    <t>Opłata semestralna:</t>
  </si>
  <si>
    <t>2.</t>
  </si>
  <si>
    <t>3.</t>
  </si>
  <si>
    <t>II. PLANOWANE KOSZTY</t>
  </si>
  <si>
    <t>b)</t>
  </si>
  <si>
    <t>godzin</t>
  </si>
  <si>
    <t>zł za godzinę</t>
  </si>
  <si>
    <t xml:space="preserve">koszty ZUS </t>
  </si>
  <si>
    <t xml:space="preserve"> (według obowiązujących stawek)</t>
  </si>
  <si>
    <t xml:space="preserve"> Wynagrodzenie urlopowe z godz.ponadwymiarowych</t>
  </si>
  <si>
    <t>dr hab. (prof. uczelnianego)</t>
  </si>
  <si>
    <t>adiunkt z tyt. dr habn</t>
  </si>
  <si>
    <t>Dodatkowe wynagrodzenie roczne "13-tka"</t>
  </si>
  <si>
    <t>adiunkta</t>
  </si>
  <si>
    <t>st.wykładowcy z tyt. dr</t>
  </si>
  <si>
    <t>Fundusz nagród</t>
  </si>
  <si>
    <t>st.wykładowcy</t>
  </si>
  <si>
    <t>asystenta</t>
  </si>
  <si>
    <t>wykładowcy, lektora, instruktora</t>
  </si>
  <si>
    <t>Koszty pośrednie:</t>
  </si>
  <si>
    <t>wydziałowe</t>
  </si>
  <si>
    <t>Imię Nazwisko oraz numer telefonu</t>
  </si>
  <si>
    <t>kierownika studiów podyplomowych / kursu dokształcającego</t>
  </si>
  <si>
    <t>za semestr</t>
  </si>
  <si>
    <t>4.</t>
  </si>
  <si>
    <t>5.</t>
  </si>
  <si>
    <t>6.</t>
  </si>
  <si>
    <t>7.</t>
  </si>
  <si>
    <t>8.</t>
  </si>
  <si>
    <t>9.</t>
  </si>
  <si>
    <t>/    2024</t>
  </si>
  <si>
    <t>/    2025</t>
  </si>
  <si>
    <t>/    2026</t>
  </si>
  <si>
    <t>rok 2</t>
  </si>
  <si>
    <t>rok 3</t>
  </si>
  <si>
    <t>rok 4</t>
  </si>
  <si>
    <t>Kierunek:</t>
  </si>
  <si>
    <t>(ilość lat)</t>
  </si>
  <si>
    <t>Opłata roczna:</t>
  </si>
  <si>
    <t>rok 1</t>
  </si>
  <si>
    <t>Wynagrodzenie za kierownie studiami / kursem   (umowa - zlecenie)</t>
  </si>
  <si>
    <t>----------------------------------</t>
  </si>
  <si>
    <t>Pozostałe koszty:</t>
  </si>
  <si>
    <t>III. SALDO KOŃCOWE STUDIÓW :</t>
  </si>
  <si>
    <t>osoby sporządzającej kosztorys</t>
  </si>
  <si>
    <t>ogólnego zarządu; strategia rozwoju</t>
  </si>
  <si>
    <t>rok 5</t>
  </si>
  <si>
    <t>semestr V</t>
  </si>
  <si>
    <t>III. SALDO KOŃCOWE STUDIÓW / KURSU  (obowiązkowe minimalne saldo końcowe przy uruchomieniu, minimum 15% przychodów) :</t>
  </si>
  <si>
    <t>Materiały dydaktyczne, materiały szkoleniowe, wycieczki dydaktyczne:</t>
  </si>
  <si>
    <t>WYDZIAŁ PEDAGOGIKI I PSYCHOLOGII</t>
  </si>
  <si>
    <t>WYDZIAŁ PRAWA I NAUK SPOŁECZNYCH</t>
  </si>
  <si>
    <t>WYDZIAŁ SZTUKI</t>
  </si>
  <si>
    <t>FILIA W SANDOMIERZU</t>
  </si>
  <si>
    <t>INSTYTUT LITERATUROZNASTWA I JĘZYKOZNAWSTWA</t>
  </si>
  <si>
    <t>INSTYTUT GEOGRAFII I NAUK O ŚRODOWISKU</t>
  </si>
  <si>
    <t>KATEDRA MATEMATYKI</t>
  </si>
  <si>
    <t>INSTYTUT PEDAGOGIKI</t>
  </si>
  <si>
    <t>KATEDRA PSYCHOLOGII</t>
  </si>
  <si>
    <t>INSTYTUT NAUK MEDYCZNYCH</t>
  </si>
  <si>
    <t>INSTYTUT NAUK O ZDROWIU</t>
  </si>
  <si>
    <t>INSTYTUT NAUK PRAWNYCH</t>
  </si>
  <si>
    <t>INSTYTUT STOSUNKÓW MIĘDZYNARODOWYCH I POLITYK PUBLICZNYCH</t>
  </si>
  <si>
    <t>KATEDRA EKONOMII I FINANSÓW</t>
  </si>
  <si>
    <t>INSTYTUT SZTUK WIZUALNYCH</t>
  </si>
  <si>
    <t>/    2027</t>
  </si>
  <si>
    <t>/    2028</t>
  </si>
  <si>
    <t>/    2029</t>
  </si>
  <si>
    <t>/    2030</t>
  </si>
  <si>
    <t>----------------------------------------------------------------------</t>
  </si>
  <si>
    <t>WSTĘPNY KOSZTORYS STUDIÓW PODYPLOMOWYCH</t>
  </si>
  <si>
    <t>Rektor</t>
  </si>
  <si>
    <t xml:space="preserve">Nazwa studiów podyplomowych: </t>
  </si>
  <si>
    <t xml:space="preserve">Czas trwania studiów podyplomowych: </t>
  </si>
  <si>
    <t>(ilość semestrów)</t>
  </si>
  <si>
    <t>profesor uczelni</t>
  </si>
  <si>
    <t>lektor</t>
  </si>
  <si>
    <t>instruktor</t>
  </si>
  <si>
    <t>Dodatek zadaniowy za kierowanie studiami</t>
  </si>
  <si>
    <t xml:space="preserve">III. SALDO KOŃCOWE STUDIÓW </t>
  </si>
  <si>
    <r>
      <t>Wynagrodzenia za zajęcia - PRACOWNICY NIEBĘDĄCY NAUCZYCIELAMI UJK</t>
    </r>
    <r>
      <rPr>
        <sz val="8"/>
        <rFont val="Arial"/>
        <family val="2"/>
        <charset val="238"/>
      </rPr>
      <t xml:space="preserve"> (umowy o dzieło/zlecenie)</t>
    </r>
  </si>
  <si>
    <t>1 godz</t>
  </si>
  <si>
    <t>nauka/dydakt</t>
  </si>
  <si>
    <t>45%/55%</t>
  </si>
  <si>
    <t>dyd</t>
  </si>
  <si>
    <t>nauka</t>
  </si>
  <si>
    <t>wykładowca, lektor, instruktor</t>
  </si>
  <si>
    <t>PRZYCHODY W DYSPOZYCJI:</t>
  </si>
  <si>
    <t>RAZEM KOSZTY:</t>
  </si>
  <si>
    <t>Razem przychody</t>
  </si>
  <si>
    <t>Obowiązkowa rezerwa</t>
  </si>
  <si>
    <t>Dziekan wydziału /</t>
  </si>
  <si>
    <t xml:space="preserve">Kierownika studiów podyplomowych </t>
  </si>
  <si>
    <t>Kierownik jednostki międzywydziałowej</t>
  </si>
  <si>
    <t>Kwestor</t>
  </si>
  <si>
    <t>PLAN</t>
  </si>
  <si>
    <t>WYKONANIE</t>
  </si>
  <si>
    <t>Forma prowadzonych zajęć:</t>
  </si>
  <si>
    <t>Nazwa studiów podyplomowych :</t>
  </si>
  <si>
    <t>Wydział / Jednostka Międzywydziałowa :</t>
  </si>
  <si>
    <t>Czas trwania studiów podyplomowych :</t>
  </si>
  <si>
    <t>Termin rozpoczęcia :</t>
  </si>
  <si>
    <t>Bezpośrednie (kontaktowe)</t>
  </si>
  <si>
    <t>On-line</t>
  </si>
  <si>
    <t>ROZLICZENIE STUDIÓW PODYPLOMOWYCH</t>
  </si>
  <si>
    <t>/    2031</t>
  </si>
  <si>
    <t>/    2032</t>
  </si>
  <si>
    <t>/    2033</t>
  </si>
  <si>
    <t>INSTYTUT MEDIÓW, DZIENNIKARSTWA I KOMUNIKACJI SPOŁECZNEJ</t>
  </si>
  <si>
    <t>INSTYTUT NAUK O BEZPIECZEŃSTWIE</t>
  </si>
  <si>
    <t>INSTYTUT ZARZĄDZANIA</t>
  </si>
  <si>
    <t>INSTYTUT MUZYKI</t>
  </si>
  <si>
    <t>WYDZIAŁ NAUK ŚCISŁYCH I PRZYRODNICZYCH</t>
  </si>
  <si>
    <t>COLLEGIUM MEDICUM</t>
  </si>
  <si>
    <t>KATEDRA NAUK FARMACEUTYCZNYCH</t>
  </si>
  <si>
    <t>/    2034</t>
  </si>
  <si>
    <t>/    2035</t>
  </si>
  <si>
    <t>Załącznik nr 3 zarządzenia nr 7/2026 v25/26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</si>
</sst>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  <numFmt numFmtId="166" formatCode="_-* #,##0\ &quot;zł&quot;_-;\-* #,##0\ &quot;zł&quot;_-;_-* &quot;-&quot;??\ &quot;zł&quot;_-;_-@_-"/>
    <numFmt numFmtId="167" formatCode="#,##0.000_ ;\-#,##0.000\ "/>
    <numFmt numFmtId="168" formatCode="0.0%"/>
  </numFmts>
  <fonts count="3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3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i/>
      <sz val="8"/>
      <name val="Arial"/>
      <family val="2"/>
      <charset val="238"/>
    </font>
    <font>
      <i/>
      <sz val="11"/>
      <name val="Arial"/>
      <family val="2"/>
      <charset val="238"/>
    </font>
    <font>
      <u/>
      <sz val="10"/>
      <color indexed="12"/>
      <name val="Arial CE"/>
      <charset val="238"/>
    </font>
    <font>
      <b/>
      <sz val="12"/>
      <name val="Arial"/>
      <family val="2"/>
      <charset val="238"/>
    </font>
    <font>
      <sz val="11"/>
      <color indexed="12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color indexed="12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u/>
      <sz val="10"/>
      <name val="Arial CE"/>
      <charset val="238"/>
    </font>
    <font>
      <sz val="9"/>
      <name val="Arial CE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sz val="6"/>
      <name val="Arial"/>
      <family val="2"/>
      <charset val="238"/>
    </font>
    <font>
      <sz val="9"/>
      <color indexed="12"/>
      <name val="Arial CE"/>
      <family val="2"/>
      <charset val="238"/>
    </font>
    <font>
      <b/>
      <sz val="10"/>
      <color indexed="10"/>
      <name val="Arial CE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auto="1"/>
      </left>
      <right/>
      <top/>
      <bottom style="dotted">
        <color indexed="64"/>
      </bottom>
      <diagonal/>
    </border>
    <border>
      <left/>
      <right style="double">
        <color auto="1"/>
      </right>
      <top style="dotted">
        <color indexed="64"/>
      </top>
      <bottom/>
      <diagonal/>
    </border>
    <border>
      <left style="double">
        <color auto="1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</cellStyleXfs>
  <cellXfs count="283">
    <xf numFmtId="0" fontId="0" fillId="0" borderId="0" xfId="0"/>
    <xf numFmtId="0" fontId="20" fillId="0" borderId="0" xfId="0" applyFont="1" applyAlignment="1">
      <alignment horizontal="center"/>
    </xf>
    <xf numFmtId="9" fontId="16" fillId="0" borderId="0" xfId="3" applyFont="1" applyFill="1" applyBorder="1" applyAlignment="1">
      <alignment horizontal="center"/>
    </xf>
    <xf numFmtId="3" fontId="16" fillId="0" borderId="0" xfId="0" applyNumberFormat="1" applyFont="1"/>
    <xf numFmtId="9" fontId="16" fillId="0" borderId="0" xfId="3" applyFont="1" applyFill="1" applyBorder="1"/>
    <xf numFmtId="1" fontId="16" fillId="0" borderId="0" xfId="3" applyNumberFormat="1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9" fontId="0" fillId="0" borderId="23" xfId="0" applyNumberFormat="1" applyBorder="1"/>
    <xf numFmtId="0" fontId="0" fillId="0" borderId="24" xfId="0" applyBorder="1"/>
    <xf numFmtId="0" fontId="0" fillId="0" borderId="0" xfId="0" quotePrefix="1"/>
    <xf numFmtId="0" fontId="0" fillId="0" borderId="25" xfId="0" applyBorder="1"/>
    <xf numFmtId="9" fontId="0" fillId="0" borderId="0" xfId="0" applyNumberFormat="1"/>
    <xf numFmtId="0" fontId="0" fillId="0" borderId="26" xfId="0" applyBorder="1"/>
    <xf numFmtId="0" fontId="0" fillId="0" borderId="0" xfId="0" applyAlignment="1">
      <alignment vertical="center"/>
    </xf>
    <xf numFmtId="0" fontId="0" fillId="0" borderId="25" xfId="0" applyBorder="1" applyAlignment="1">
      <alignment vertical="center"/>
    </xf>
    <xf numFmtId="49" fontId="24" fillId="0" borderId="0" xfId="1" applyNumberFormat="1" applyFont="1" applyFill="1" applyAlignment="1" applyProtection="1">
      <alignment horizontal="left" indent="1"/>
    </xf>
    <xf numFmtId="49" fontId="0" fillId="0" borderId="0" xfId="0" applyNumberFormat="1"/>
    <xf numFmtId="0" fontId="0" fillId="0" borderId="27" xfId="0" applyBorder="1"/>
    <xf numFmtId="0" fontId="0" fillId="0" borderId="28" xfId="0" applyBorder="1"/>
    <xf numFmtId="9" fontId="0" fillId="0" borderId="28" xfId="0" applyNumberFormat="1" applyBorder="1"/>
    <xf numFmtId="0" fontId="0" fillId="0" borderId="29" xfId="0" applyBorder="1"/>
    <xf numFmtId="49" fontId="0" fillId="0" borderId="0" xfId="0" applyNumberFormat="1" applyAlignment="1">
      <alignment vertical="center"/>
    </xf>
    <xf numFmtId="0" fontId="6" fillId="0" borderId="0" xfId="0" applyFont="1"/>
    <xf numFmtId="0" fontId="18" fillId="0" borderId="0" xfId="2" applyFont="1"/>
    <xf numFmtId="0" fontId="17" fillId="0" borderId="0" xfId="2"/>
    <xf numFmtId="166" fontId="25" fillId="0" borderId="0" xfId="4" applyNumberFormat="1" applyFont="1" applyFill="1" applyBorder="1" applyAlignment="1">
      <alignment horizontal="center"/>
    </xf>
    <xf numFmtId="166" fontId="18" fillId="0" borderId="0" xfId="4" applyNumberFormat="1" applyFont="1" applyFill="1" applyBorder="1" applyAlignment="1">
      <alignment horizontal="center"/>
    </xf>
    <xf numFmtId="10" fontId="0" fillId="0" borderId="0" xfId="0" applyNumberFormat="1"/>
    <xf numFmtId="0" fontId="26" fillId="0" borderId="0" xfId="0" applyFont="1"/>
    <xf numFmtId="164" fontId="8" fillId="0" borderId="8" xfId="5" applyNumberFormat="1" applyFont="1" applyBorder="1"/>
    <xf numFmtId="0" fontId="14" fillId="2" borderId="9" xfId="5" applyFont="1" applyFill="1" applyBorder="1" applyAlignment="1" applyProtection="1">
      <alignment horizontal="center"/>
      <protection locked="0"/>
    </xf>
    <xf numFmtId="0" fontId="16" fillId="0" borderId="0" xfId="5" applyFont="1"/>
    <xf numFmtId="10" fontId="27" fillId="0" borderId="1" xfId="5" applyNumberFormat="1" applyBorder="1" applyAlignment="1">
      <alignment horizontal="center" vertical="center" wrapText="1"/>
    </xf>
    <xf numFmtId="164" fontId="11" fillId="0" borderId="8" xfId="5" applyNumberFormat="1" applyFont="1" applyBorder="1" applyAlignment="1">
      <alignment vertical="center"/>
    </xf>
    <xf numFmtId="164" fontId="4" fillId="0" borderId="8" xfId="5" applyNumberFormat="1" applyFont="1" applyBorder="1"/>
    <xf numFmtId="0" fontId="14" fillId="2" borderId="42" xfId="5" applyFont="1" applyFill="1" applyBorder="1" applyAlignment="1" applyProtection="1">
      <alignment horizontal="center"/>
      <protection locked="0"/>
    </xf>
    <xf numFmtId="0" fontId="5" fillId="0" borderId="11" xfId="5" applyFont="1" applyBorder="1" applyAlignment="1">
      <alignment horizontal="center"/>
    </xf>
    <xf numFmtId="0" fontId="27" fillId="0" borderId="10" xfId="5" applyBorder="1"/>
    <xf numFmtId="164" fontId="4" fillId="0" borderId="35" xfId="5" applyNumberFormat="1" applyFont="1" applyBorder="1" applyAlignment="1">
      <alignment vertical="center"/>
    </xf>
    <xf numFmtId="164" fontId="4" fillId="0" borderId="36" xfId="5" applyNumberFormat="1" applyFont="1" applyBorder="1" applyAlignment="1">
      <alignment vertical="center"/>
    </xf>
    <xf numFmtId="0" fontId="6" fillId="0" borderId="0" xfId="5" applyFont="1" applyAlignment="1">
      <alignment horizontal="right"/>
    </xf>
    <xf numFmtId="49" fontId="7" fillId="0" borderId="11" xfId="5" applyNumberFormat="1" applyFont="1" applyBorder="1" applyAlignment="1">
      <alignment horizontal="center"/>
    </xf>
    <xf numFmtId="0" fontId="27" fillId="3" borderId="0" xfId="5" applyFill="1"/>
    <xf numFmtId="0" fontId="27" fillId="3" borderId="0" xfId="5" applyFill="1" applyAlignment="1">
      <alignment vertical="center"/>
    </xf>
    <xf numFmtId="0" fontId="3" fillId="3" borderId="0" xfId="5" applyFont="1" applyFill="1"/>
    <xf numFmtId="0" fontId="1" fillId="3" borderId="0" xfId="5" applyFont="1" applyFill="1"/>
    <xf numFmtId="0" fontId="28" fillId="3" borderId="0" xfId="5" applyFont="1" applyFill="1"/>
    <xf numFmtId="49" fontId="27" fillId="3" borderId="0" xfId="5" applyNumberFormat="1" applyFill="1"/>
    <xf numFmtId="49" fontId="12" fillId="3" borderId="0" xfId="1" applyNumberFormat="1" applyFill="1" applyAlignment="1" applyProtection="1">
      <alignment horizontal="left" indent="1"/>
    </xf>
    <xf numFmtId="49" fontId="27" fillId="3" borderId="0" xfId="5" applyNumberFormat="1" applyFill="1" applyAlignment="1">
      <alignment vertical="center"/>
    </xf>
    <xf numFmtId="3" fontId="19" fillId="3" borderId="0" xfId="5" applyNumberFormat="1" applyFont="1" applyFill="1"/>
    <xf numFmtId="0" fontId="16" fillId="3" borderId="0" xfId="5" applyFont="1" applyFill="1" applyAlignment="1">
      <alignment horizontal="center"/>
    </xf>
    <xf numFmtId="0" fontId="20" fillId="3" borderId="0" xfId="5" applyFont="1" applyFill="1" applyAlignment="1">
      <alignment horizontal="center"/>
    </xf>
    <xf numFmtId="3" fontId="16" fillId="3" borderId="0" xfId="5" applyNumberFormat="1" applyFont="1" applyFill="1"/>
    <xf numFmtId="9" fontId="27" fillId="3" borderId="0" xfId="5" applyNumberFormat="1" applyFill="1"/>
    <xf numFmtId="10" fontId="27" fillId="3" borderId="0" xfId="5" applyNumberFormat="1" applyFill="1"/>
    <xf numFmtId="164" fontId="27" fillId="3" borderId="0" xfId="5" applyNumberFormat="1" applyFill="1"/>
    <xf numFmtId="166" fontId="30" fillId="3" borderId="41" xfId="4" applyNumberFormat="1" applyFont="1" applyFill="1" applyBorder="1" applyAlignment="1">
      <alignment horizontal="center"/>
    </xf>
    <xf numFmtId="166" fontId="31" fillId="3" borderId="37" xfId="4" applyNumberFormat="1" applyFont="1" applyFill="1" applyBorder="1" applyAlignment="1">
      <alignment horizontal="center"/>
    </xf>
    <xf numFmtId="0" fontId="17" fillId="3" borderId="0" xfId="2" applyFill="1"/>
    <xf numFmtId="49" fontId="12" fillId="3" borderId="0" xfId="1" applyNumberFormat="1" applyFill="1" applyAlignment="1" applyProtection="1"/>
    <xf numFmtId="166" fontId="30" fillId="3" borderId="31" xfId="4" applyNumberFormat="1" applyFont="1" applyFill="1" applyBorder="1" applyAlignment="1">
      <alignment horizontal="center"/>
    </xf>
    <xf numFmtId="166" fontId="31" fillId="3" borderId="32" xfId="4" applyNumberFormat="1" applyFont="1" applyFill="1" applyBorder="1" applyAlignment="1">
      <alignment horizontal="center"/>
    </xf>
    <xf numFmtId="0" fontId="4" fillId="3" borderId="0" xfId="5" applyFont="1" applyFill="1"/>
    <xf numFmtId="0" fontId="27" fillId="0" borderId="6" xfId="5" applyBorder="1"/>
    <xf numFmtId="0" fontId="2" fillId="0" borderId="7" xfId="5" applyFont="1" applyBorder="1" applyAlignment="1">
      <alignment horizontal="right"/>
    </xf>
    <xf numFmtId="0" fontId="3" fillId="0" borderId="0" xfId="5" applyFont="1"/>
    <xf numFmtId="0" fontId="27" fillId="0" borderId="0" xfId="5"/>
    <xf numFmtId="0" fontId="4" fillId="0" borderId="0" xfId="5" applyFont="1" applyAlignment="1">
      <alignment horizontal="right"/>
    </xf>
    <xf numFmtId="0" fontId="27" fillId="0" borderId="11" xfId="5" applyBorder="1"/>
    <xf numFmtId="0" fontId="5" fillId="0" borderId="10" xfId="5" applyFont="1" applyBorder="1" applyAlignment="1">
      <alignment horizontal="right"/>
    </xf>
    <xf numFmtId="0" fontId="5" fillId="0" borderId="0" xfId="5" applyFont="1" applyAlignment="1">
      <alignment horizontal="right"/>
    </xf>
    <xf numFmtId="0" fontId="5" fillId="0" borderId="10" xfId="5" applyFont="1" applyBorder="1" applyAlignment="1">
      <alignment horizontal="center"/>
    </xf>
    <xf numFmtId="0" fontId="5" fillId="0" borderId="0" xfId="5" applyFont="1" applyAlignment="1">
      <alignment horizontal="center"/>
    </xf>
    <xf numFmtId="0" fontId="8" fillId="0" borderId="10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0" xfId="5" applyFont="1" applyAlignment="1">
      <alignment horizontal="right"/>
    </xf>
    <xf numFmtId="0" fontId="10" fillId="0" borderId="0" xfId="5" applyFont="1" applyAlignment="1">
      <alignment horizontal="center"/>
    </xf>
    <xf numFmtId="0" fontId="10" fillId="0" borderId="0" xfId="5" applyFont="1"/>
    <xf numFmtId="0" fontId="4" fillId="0" borderId="0" xfId="5" applyFont="1"/>
    <xf numFmtId="0" fontId="4" fillId="0" borderId="11" xfId="5" applyFont="1" applyBorder="1"/>
    <xf numFmtId="0" fontId="9" fillId="0" borderId="0" xfId="5" applyFont="1" applyAlignment="1">
      <alignment horizontal="center"/>
    </xf>
    <xf numFmtId="0" fontId="4" fillId="0" borderId="10" xfId="5" applyFont="1" applyBorder="1"/>
    <xf numFmtId="0" fontId="29" fillId="0" borderId="0" xfId="5" applyFont="1" applyAlignment="1">
      <alignment horizontal="center"/>
    </xf>
    <xf numFmtId="0" fontId="29" fillId="0" borderId="0" xfId="5" applyFont="1"/>
    <xf numFmtId="0" fontId="1" fillId="0" borderId="0" xfId="5" applyFont="1" applyAlignment="1">
      <alignment horizontal="right"/>
    </xf>
    <xf numFmtId="0" fontId="27" fillId="0" borderId="0" xfId="5" applyAlignment="1">
      <alignment horizontal="center"/>
    </xf>
    <xf numFmtId="0" fontId="13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0" fontId="4" fillId="0" borderId="4" xfId="5" applyFont="1" applyBorder="1" applyAlignment="1">
      <alignment horizontal="center" vertical="center"/>
    </xf>
    <xf numFmtId="0" fontId="27" fillId="0" borderId="5" xfId="5" applyBorder="1" applyAlignment="1">
      <alignment vertical="center"/>
    </xf>
    <xf numFmtId="0" fontId="27" fillId="0" borderId="6" xfId="5" applyBorder="1" applyAlignment="1">
      <alignment vertical="center"/>
    </xf>
    <xf numFmtId="0" fontId="27" fillId="0" borderId="0" xfId="5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horizontal="center" vertical="center"/>
    </xf>
    <xf numFmtId="0" fontId="13" fillId="0" borderId="10" xfId="5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10" xfId="5" applyFont="1" applyBorder="1" applyAlignment="1">
      <alignment horizontal="right" vertical="center"/>
    </xf>
    <xf numFmtId="0" fontId="15" fillId="0" borderId="11" xfId="5" applyFont="1" applyBorder="1" applyAlignment="1">
      <alignment horizontal="right"/>
    </xf>
    <xf numFmtId="0" fontId="1" fillId="0" borderId="8" xfId="5" applyFont="1" applyBorder="1" applyAlignment="1">
      <alignment horizontal="center"/>
    </xf>
    <xf numFmtId="49" fontId="4" fillId="0" borderId="10" xfId="5" applyNumberFormat="1" applyFont="1" applyBorder="1" applyAlignment="1">
      <alignment horizontal="right" vertical="center"/>
    </xf>
    <xf numFmtId="0" fontId="4" fillId="0" borderId="12" xfId="5" applyFont="1" applyBorder="1"/>
    <xf numFmtId="0" fontId="4" fillId="0" borderId="13" xfId="5" applyFont="1" applyBorder="1"/>
    <xf numFmtId="0" fontId="4" fillId="0" borderId="14" xfId="5" applyFont="1" applyBorder="1"/>
    <xf numFmtId="0" fontId="4" fillId="0" borderId="8" xfId="5" applyFont="1" applyBorder="1"/>
    <xf numFmtId="0" fontId="4" fillId="0" borderId="10" xfId="5" applyFont="1" applyBorder="1" applyAlignment="1">
      <alignment horizontal="right"/>
    </xf>
    <xf numFmtId="0" fontId="4" fillId="0" borderId="6" xfId="5" applyFont="1" applyBorder="1" applyAlignment="1">
      <alignment horizontal="center"/>
    </xf>
    <xf numFmtId="0" fontId="15" fillId="0" borderId="0" xfId="5" applyFont="1" applyAlignment="1">
      <alignment vertical="top"/>
    </xf>
    <xf numFmtId="0" fontId="15" fillId="0" borderId="0" xfId="5" applyFont="1" applyAlignment="1">
      <alignment horizontal="right"/>
    </xf>
    <xf numFmtId="1" fontId="15" fillId="0" borderId="0" xfId="5" applyNumberFormat="1" applyFont="1" applyAlignment="1">
      <alignment horizontal="center"/>
    </xf>
    <xf numFmtId="164" fontId="11" fillId="0" borderId="8" xfId="5" applyNumberFormat="1" applyFont="1" applyBorder="1"/>
    <xf numFmtId="0" fontId="4" fillId="0" borderId="20" xfId="5" applyFont="1" applyBorder="1" applyAlignment="1">
      <alignment vertical="center"/>
    </xf>
    <xf numFmtId="0" fontId="23" fillId="0" borderId="20" xfId="5" applyFont="1" applyBorder="1" applyAlignment="1">
      <alignment horizontal="right" vertical="center"/>
    </xf>
    <xf numFmtId="164" fontId="8" fillId="0" borderId="21" xfId="5" applyNumberFormat="1" applyFont="1" applyBorder="1" applyAlignment="1">
      <alignment vertical="center"/>
    </xf>
    <xf numFmtId="0" fontId="4" fillId="0" borderId="19" xfId="5" applyFont="1" applyBorder="1" applyAlignment="1">
      <alignment horizontal="center"/>
    </xf>
    <xf numFmtId="0" fontId="4" fillId="0" borderId="19" xfId="5" applyFont="1" applyBorder="1"/>
    <xf numFmtId="164" fontId="4" fillId="0" borderId="30" xfId="5" applyNumberFormat="1" applyFont="1" applyBorder="1"/>
    <xf numFmtId="0" fontId="21" fillId="0" borderId="9" xfId="5" applyFont="1" applyBorder="1" applyAlignment="1">
      <alignment horizontal="center"/>
    </xf>
    <xf numFmtId="0" fontId="21" fillId="0" borderId="18" xfId="5" applyFont="1" applyBorder="1" applyAlignment="1">
      <alignment horizontal="center"/>
    </xf>
    <xf numFmtId="0" fontId="4" fillId="0" borderId="1" xfId="5" applyFont="1" applyBorder="1" applyAlignment="1">
      <alignment vertical="center"/>
    </xf>
    <xf numFmtId="0" fontId="23" fillId="0" borderId="1" xfId="5" applyFont="1" applyBorder="1" applyAlignment="1">
      <alignment horizontal="right" vertical="center"/>
    </xf>
    <xf numFmtId="164" fontId="22" fillId="0" borderId="36" xfId="5" applyNumberFormat="1" applyFont="1" applyBorder="1" applyAlignment="1">
      <alignment vertical="center"/>
    </xf>
    <xf numFmtId="0" fontId="4" fillId="0" borderId="33" xfId="5" applyFont="1" applyBorder="1" applyAlignment="1">
      <alignment horizontal="center"/>
    </xf>
    <xf numFmtId="0" fontId="4" fillId="0" borderId="33" xfId="5" applyFont="1" applyBorder="1"/>
    <xf numFmtId="164" fontId="4" fillId="0" borderId="35" xfId="5" applyNumberFormat="1" applyFont="1" applyBorder="1"/>
    <xf numFmtId="0" fontId="4" fillId="0" borderId="1" xfId="5" applyFont="1" applyBorder="1"/>
    <xf numFmtId="164" fontId="22" fillId="0" borderId="40" xfId="5" applyNumberFormat="1" applyFont="1" applyBorder="1"/>
    <xf numFmtId="0" fontId="16" fillId="0" borderId="10" xfId="5" applyFont="1" applyBorder="1" applyAlignment="1">
      <alignment vertical="center" textRotation="90" wrapText="1"/>
    </xf>
    <xf numFmtId="0" fontId="27" fillId="0" borderId="1" xfId="5" applyBorder="1" applyAlignment="1">
      <alignment horizontal="right" vertical="center" wrapText="1"/>
    </xf>
    <xf numFmtId="0" fontId="4" fillId="0" borderId="15" xfId="5" applyFont="1" applyBorder="1"/>
    <xf numFmtId="0" fontId="4" fillId="0" borderId="33" xfId="5" applyFont="1" applyBorder="1" applyAlignment="1">
      <alignment vertical="center"/>
    </xf>
    <xf numFmtId="49" fontId="4" fillId="0" borderId="10" xfId="5" applyNumberFormat="1" applyFont="1" applyBorder="1" applyAlignment="1">
      <alignment horizontal="right" vertical="top"/>
    </xf>
    <xf numFmtId="9" fontId="9" fillId="0" borderId="43" xfId="5" applyNumberFormat="1" applyFont="1" applyBorder="1" applyAlignment="1">
      <alignment horizontal="center" vertical="center"/>
    </xf>
    <xf numFmtId="49" fontId="4" fillId="0" borderId="10" xfId="5" applyNumberFormat="1" applyFont="1" applyBorder="1" applyAlignment="1">
      <alignment vertical="top"/>
    </xf>
    <xf numFmtId="164" fontId="22" fillId="0" borderId="8" xfId="5" applyNumberFormat="1" applyFont="1" applyBorder="1"/>
    <xf numFmtId="164" fontId="13" fillId="0" borderId="4" xfId="5" applyNumberFormat="1" applyFont="1" applyBorder="1" applyAlignment="1">
      <alignment vertical="center"/>
    </xf>
    <xf numFmtId="0" fontId="20" fillId="0" borderId="0" xfId="5" applyFont="1"/>
    <xf numFmtId="0" fontId="4" fillId="0" borderId="44" xfId="5" applyFont="1" applyBorder="1"/>
    <xf numFmtId="0" fontId="4" fillId="0" borderId="0" xfId="5" applyFont="1" applyAlignment="1">
      <alignment vertical="top"/>
    </xf>
    <xf numFmtId="44" fontId="14" fillId="2" borderId="42" xfId="4" applyFont="1" applyFill="1" applyBorder="1" applyProtection="1">
      <protection locked="0"/>
    </xf>
    <xf numFmtId="44" fontId="14" fillId="2" borderId="9" xfId="4" applyFont="1" applyFill="1" applyBorder="1" applyProtection="1">
      <protection locked="0"/>
    </xf>
    <xf numFmtId="0" fontId="9" fillId="2" borderId="15" xfId="5" quotePrefix="1" applyFont="1" applyFill="1" applyBorder="1" applyAlignment="1" applyProtection="1">
      <alignment horizontal="left"/>
      <protection locked="0"/>
    </xf>
    <xf numFmtId="0" fontId="8" fillId="2" borderId="1" xfId="5" applyFont="1" applyFill="1" applyBorder="1" applyAlignment="1" applyProtection="1">
      <alignment horizontal="right"/>
      <protection locked="0"/>
    </xf>
    <xf numFmtId="0" fontId="9" fillId="2" borderId="1" xfId="5" applyFont="1" applyFill="1" applyBorder="1" applyAlignment="1" applyProtection="1">
      <alignment horizontal="left"/>
      <protection locked="0"/>
    </xf>
    <xf numFmtId="0" fontId="9" fillId="2" borderId="1" xfId="5" applyFont="1" applyFill="1" applyBorder="1" applyAlignment="1" applyProtection="1">
      <alignment horizontal="center"/>
      <protection locked="0"/>
    </xf>
    <xf numFmtId="165" fontId="14" fillId="2" borderId="9" xfId="5" applyNumberFormat="1" applyFont="1" applyFill="1" applyBorder="1" applyAlignment="1" applyProtection="1">
      <alignment horizontal="center"/>
      <protection locked="0"/>
    </xf>
    <xf numFmtId="0" fontId="4" fillId="0" borderId="11" xfId="5" applyFont="1" applyBorder="1" applyAlignment="1" applyProtection="1">
      <alignment horizontal="center" vertical="top"/>
      <protection locked="0"/>
    </xf>
    <xf numFmtId="164" fontId="4" fillId="2" borderId="8" xfId="5" applyNumberFormat="1" applyFont="1" applyFill="1" applyBorder="1" applyProtection="1">
      <protection locked="0"/>
    </xf>
    <xf numFmtId="49" fontId="7" fillId="0" borderId="0" xfId="5" applyNumberFormat="1" applyFont="1" applyAlignment="1">
      <alignment horizontal="center"/>
    </xf>
    <xf numFmtId="164" fontId="4" fillId="0" borderId="0" xfId="5" applyNumberFormat="1" applyFont="1"/>
    <xf numFmtId="0" fontId="9" fillId="0" borderId="1" xfId="5" applyFont="1" applyBorder="1" applyAlignment="1">
      <alignment horizontal="center"/>
    </xf>
    <xf numFmtId="0" fontId="4" fillId="0" borderId="9" xfId="5" applyFont="1" applyBorder="1" applyAlignment="1">
      <alignment horizontal="center"/>
    </xf>
    <xf numFmtId="0" fontId="4" fillId="0" borderId="0" xfId="5" applyFont="1" applyAlignment="1">
      <alignment horizontal="left" vertical="center"/>
    </xf>
    <xf numFmtId="0" fontId="4" fillId="0" borderId="9" xfId="5" applyFont="1" applyBorder="1" applyAlignment="1">
      <alignment horizontal="center" vertical="center"/>
    </xf>
    <xf numFmtId="0" fontId="4" fillId="0" borderId="0" xfId="5" applyFont="1" applyAlignment="1">
      <alignment horizontal="right" vertical="center"/>
    </xf>
    <xf numFmtId="164" fontId="4" fillId="0" borderId="8" xfId="5" applyNumberFormat="1" applyFont="1" applyBorder="1" applyAlignment="1">
      <alignment vertical="center"/>
    </xf>
    <xf numFmtId="0" fontId="4" fillId="2" borderId="38" xfId="5" applyFont="1" applyFill="1" applyBorder="1" applyAlignment="1" applyProtection="1">
      <alignment vertical="center"/>
      <protection locked="0"/>
    </xf>
    <xf numFmtId="0" fontId="4" fillId="2" borderId="1" xfId="5" applyFont="1" applyFill="1" applyBorder="1" applyAlignment="1" applyProtection="1">
      <alignment vertical="center"/>
      <protection locked="0"/>
    </xf>
    <xf numFmtId="10" fontId="1" fillId="0" borderId="1" xfId="5" applyNumberFormat="1" applyFont="1" applyBorder="1" applyAlignment="1">
      <alignment horizontal="center" vertical="center"/>
    </xf>
    <xf numFmtId="9" fontId="0" fillId="0" borderId="0" xfId="3" applyFont="1"/>
    <xf numFmtId="0" fontId="6" fillId="0" borderId="2" xfId="5" applyFont="1" applyBorder="1" applyAlignment="1">
      <alignment vertical="center"/>
    </xf>
    <xf numFmtId="0" fontId="1" fillId="0" borderId="0" xfId="0" applyFont="1"/>
    <xf numFmtId="14" fontId="4" fillId="0" borderId="11" xfId="5" applyNumberFormat="1" applyFont="1" applyBorder="1" applyAlignment="1" applyProtection="1">
      <alignment horizontal="center"/>
      <protection locked="0"/>
    </xf>
    <xf numFmtId="44" fontId="0" fillId="0" borderId="0" xfId="0" applyNumberFormat="1"/>
    <xf numFmtId="0" fontId="20" fillId="0" borderId="5" xfId="5" applyFont="1" applyBorder="1"/>
    <xf numFmtId="0" fontId="4" fillId="0" borderId="11" xfId="5" applyFont="1" applyBorder="1" applyAlignment="1">
      <alignment horizontal="left" vertical="center"/>
    </xf>
    <xf numFmtId="0" fontId="1" fillId="0" borderId="11" xfId="5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4" fillId="0" borderId="45" xfId="5" applyFont="1" applyBorder="1"/>
    <xf numFmtId="0" fontId="14" fillId="2" borderId="9" xfId="5" applyFont="1" applyFill="1" applyBorder="1" applyProtection="1">
      <protection locked="0"/>
    </xf>
    <xf numFmtId="44" fontId="14" fillId="2" borderId="9" xfId="4" applyFont="1" applyFill="1" applyBorder="1" applyAlignment="1" applyProtection="1">
      <alignment vertical="center"/>
      <protection locked="0"/>
    </xf>
    <xf numFmtId="0" fontId="4" fillId="0" borderId="16" xfId="5" applyFont="1" applyBorder="1" applyAlignment="1">
      <alignment horizontal="center" vertical="center"/>
    </xf>
    <xf numFmtId="0" fontId="4" fillId="0" borderId="47" xfId="5" applyFont="1" applyBorder="1" applyAlignment="1">
      <alignment horizontal="center" vertical="center"/>
    </xf>
    <xf numFmtId="0" fontId="4" fillId="0" borderId="33" xfId="5" applyFont="1" applyBorder="1" applyAlignment="1">
      <alignment horizontal="center" vertical="center"/>
    </xf>
    <xf numFmtId="0" fontId="4" fillId="2" borderId="0" xfId="5" applyFont="1" applyFill="1" applyAlignment="1" applyProtection="1">
      <alignment horizontal="left" vertical="center"/>
      <protection locked="0"/>
    </xf>
    <xf numFmtId="0" fontId="4" fillId="0" borderId="0" xfId="5" applyFont="1" applyAlignment="1">
      <alignment horizontal="center" vertical="center"/>
    </xf>
    <xf numFmtId="0" fontId="4" fillId="0" borderId="33" xfId="5" applyFont="1" applyBorder="1" applyAlignment="1">
      <alignment horizontal="left" vertical="center"/>
    </xf>
    <xf numFmtId="9" fontId="9" fillId="0" borderId="1" xfId="5" applyNumberFormat="1" applyFont="1" applyBorder="1" applyAlignment="1">
      <alignment horizontal="center" vertical="center"/>
    </xf>
    <xf numFmtId="0" fontId="22" fillId="0" borderId="1" xfId="5" applyFont="1" applyBorder="1" applyAlignment="1">
      <alignment horizontal="right"/>
    </xf>
    <xf numFmtId="164" fontId="22" fillId="0" borderId="36" xfId="5" applyNumberFormat="1" applyFont="1" applyBorder="1"/>
    <xf numFmtId="0" fontId="16" fillId="0" borderId="46" xfId="5" applyFont="1" applyBorder="1" applyAlignment="1">
      <alignment vertical="center" textRotation="90" wrapText="1"/>
    </xf>
    <xf numFmtId="0" fontId="27" fillId="0" borderId="33" xfId="5" applyBorder="1" applyAlignment="1">
      <alignment vertical="center" wrapText="1"/>
    </xf>
    <xf numFmtId="0" fontId="27" fillId="0" borderId="33" xfId="5" applyBorder="1"/>
    <xf numFmtId="9" fontId="9" fillId="0" borderId="33" xfId="5" applyNumberFormat="1" applyFont="1" applyBorder="1" applyAlignment="1">
      <alignment horizontal="center" vertical="center"/>
    </xf>
    <xf numFmtId="9" fontId="9" fillId="0" borderId="45" xfId="5" applyNumberFormat="1" applyFont="1" applyBorder="1" applyAlignment="1">
      <alignment horizontal="center" vertical="center"/>
    </xf>
    <xf numFmtId="167" fontId="14" fillId="0" borderId="0" xfId="4" applyNumberFormat="1" applyFont="1" applyFill="1" applyBorder="1" applyAlignment="1" applyProtection="1">
      <alignment horizontal="center"/>
    </xf>
    <xf numFmtId="44" fontId="14" fillId="2" borderId="0" xfId="4" applyFont="1" applyFill="1" applyBorder="1" applyProtection="1">
      <protection locked="0"/>
    </xf>
    <xf numFmtId="44" fontId="14" fillId="0" borderId="0" xfId="4" applyFont="1" applyFill="1" applyBorder="1" applyProtection="1">
      <protection locked="0"/>
    </xf>
    <xf numFmtId="9" fontId="0" fillId="0" borderId="0" xfId="0" applyNumberFormat="1" applyAlignment="1">
      <alignment vertical="center"/>
    </xf>
    <xf numFmtId="0" fontId="0" fillId="0" borderId="23" xfId="3" applyNumberFormat="1" applyFont="1" applyFill="1" applyBorder="1"/>
    <xf numFmtId="0" fontId="0" fillId="0" borderId="0" xfId="3" applyNumberFormat="1" applyFont="1" applyFill="1" applyBorder="1"/>
    <xf numFmtId="2" fontId="0" fillId="0" borderId="23" xfId="0" applyNumberFormat="1" applyBorder="1"/>
    <xf numFmtId="2" fontId="0" fillId="0" borderId="0" xfId="0" applyNumberFormat="1"/>
    <xf numFmtId="0" fontId="22" fillId="0" borderId="0" xfId="5" applyFont="1" applyAlignment="1">
      <alignment horizontal="right"/>
    </xf>
    <xf numFmtId="164" fontId="4" fillId="0" borderId="48" xfId="5" applyNumberFormat="1" applyFont="1" applyBorder="1"/>
    <xf numFmtId="164" fontId="4" fillId="0" borderId="0" xfId="5" applyNumberFormat="1" applyFont="1" applyAlignment="1">
      <alignment vertical="center"/>
    </xf>
    <xf numFmtId="0" fontId="4" fillId="0" borderId="15" xfId="5" applyFont="1" applyBorder="1" applyAlignment="1" applyProtection="1">
      <alignment vertical="top"/>
      <protection locked="0"/>
    </xf>
    <xf numFmtId="164" fontId="4" fillId="2" borderId="36" xfId="5" applyNumberFormat="1" applyFont="1" applyFill="1" applyBorder="1" applyProtection="1">
      <protection locked="0"/>
    </xf>
    <xf numFmtId="0" fontId="4" fillId="0" borderId="39" xfId="5" applyFont="1" applyBorder="1"/>
    <xf numFmtId="0" fontId="4" fillId="0" borderId="34" xfId="5" applyFont="1" applyBorder="1" applyAlignment="1">
      <alignment vertical="center"/>
    </xf>
    <xf numFmtId="0" fontId="4" fillId="0" borderId="34" xfId="5" applyFont="1" applyBorder="1"/>
    <xf numFmtId="0" fontId="22" fillId="0" borderId="34" xfId="5" applyFont="1" applyBorder="1" applyAlignment="1">
      <alignment horizontal="right"/>
    </xf>
    <xf numFmtId="10" fontId="18" fillId="0" borderId="0" xfId="3" applyNumberFormat="1" applyFont="1" applyFill="1" applyBorder="1" applyAlignment="1">
      <alignment horizontal="center"/>
    </xf>
    <xf numFmtId="0" fontId="14" fillId="2" borderId="9" xfId="5" applyFont="1" applyFill="1" applyBorder="1" applyAlignment="1" applyProtection="1">
      <alignment horizontal="center" vertical="center"/>
      <protection locked="0"/>
    </xf>
    <xf numFmtId="10" fontId="0" fillId="0" borderId="0" xfId="3" applyNumberFormat="1" applyFont="1"/>
    <xf numFmtId="0" fontId="32" fillId="0" borderId="13" xfId="5" applyFont="1" applyBorder="1" applyAlignment="1">
      <alignment vertical="center"/>
    </xf>
    <xf numFmtId="0" fontId="4" fillId="0" borderId="41" xfId="5" applyFont="1" applyBorder="1" applyAlignment="1">
      <alignment horizontal="center" vertical="center" wrapText="1"/>
    </xf>
    <xf numFmtId="9" fontId="14" fillId="0" borderId="41" xfId="3" applyFont="1" applyFill="1" applyBorder="1" applyAlignment="1" applyProtection="1">
      <alignment horizontal="center" vertical="center"/>
      <protection locked="0"/>
    </xf>
    <xf numFmtId="0" fontId="2" fillId="0" borderId="6" xfId="5" applyFont="1" applyBorder="1" applyAlignment="1">
      <alignment horizontal="right"/>
    </xf>
    <xf numFmtId="14" fontId="4" fillId="0" borderId="0" xfId="5" applyNumberFormat="1" applyFont="1" applyAlignment="1" applyProtection="1">
      <alignment horizontal="center"/>
      <protection locked="0"/>
    </xf>
    <xf numFmtId="10" fontId="0" fillId="0" borderId="1" xfId="3" applyNumberFormat="1" applyFont="1" applyFill="1" applyBorder="1" applyAlignment="1" applyProtection="1">
      <alignment horizontal="center" vertical="center" wrapText="1"/>
    </xf>
    <xf numFmtId="166" fontId="30" fillId="3" borderId="0" xfId="4" applyNumberFormat="1" applyFont="1" applyFill="1" applyBorder="1" applyAlignment="1">
      <alignment horizontal="center"/>
    </xf>
    <xf numFmtId="166" fontId="31" fillId="3" borderId="0" xfId="4" applyNumberFormat="1" applyFont="1" applyFill="1" applyBorder="1" applyAlignment="1">
      <alignment horizontal="center"/>
    </xf>
    <xf numFmtId="164" fontId="4" fillId="0" borderId="49" xfId="5" applyNumberFormat="1" applyFont="1" applyBorder="1" applyAlignment="1">
      <alignment vertical="center"/>
    </xf>
    <xf numFmtId="168" fontId="0" fillId="0" borderId="0" xfId="3" applyNumberFormat="1" applyFont="1" applyFill="1"/>
    <xf numFmtId="0" fontId="4" fillId="0" borderId="11" xfId="5" applyFont="1" applyBorder="1" applyAlignment="1">
      <alignment horizontal="center" vertical="top"/>
    </xf>
    <xf numFmtId="164" fontId="4" fillId="2" borderId="8" xfId="5" applyNumberFormat="1" applyFont="1" applyFill="1" applyBorder="1"/>
    <xf numFmtId="0" fontId="4" fillId="0" borderId="15" xfId="5" applyFont="1" applyBorder="1" applyAlignment="1">
      <alignment vertical="top"/>
    </xf>
    <xf numFmtId="164" fontId="4" fillId="2" borderId="36" xfId="5" applyNumberFormat="1" applyFont="1" applyFill="1" applyBorder="1"/>
    <xf numFmtId="0" fontId="14" fillId="2" borderId="42" xfId="5" applyFont="1" applyFill="1" applyBorder="1" applyAlignment="1">
      <alignment horizontal="center"/>
    </xf>
    <xf numFmtId="0" fontId="14" fillId="2" borderId="9" xfId="5" applyFont="1" applyFill="1" applyBorder="1" applyAlignment="1">
      <alignment horizontal="center"/>
    </xf>
    <xf numFmtId="44" fontId="14" fillId="2" borderId="42" xfId="4" applyFont="1" applyFill="1" applyBorder="1" applyProtection="1"/>
    <xf numFmtId="44" fontId="14" fillId="2" borderId="9" xfId="4" applyFont="1" applyFill="1" applyBorder="1" applyProtection="1"/>
    <xf numFmtId="0" fontId="14" fillId="2" borderId="9" xfId="5" applyFont="1" applyFill="1" applyBorder="1"/>
    <xf numFmtId="44" fontId="14" fillId="2" borderId="9" xfId="4" applyFont="1" applyFill="1" applyBorder="1" applyAlignment="1" applyProtection="1">
      <alignment vertical="center"/>
    </xf>
    <xf numFmtId="165" fontId="14" fillId="2" borderId="9" xfId="5" applyNumberFormat="1" applyFont="1" applyFill="1" applyBorder="1" applyAlignment="1">
      <alignment horizontal="center"/>
    </xf>
    <xf numFmtId="0" fontId="9" fillId="2" borderId="1" xfId="5" applyFont="1" applyFill="1" applyBorder="1" applyAlignment="1">
      <alignment horizontal="center"/>
    </xf>
    <xf numFmtId="0" fontId="9" fillId="2" borderId="1" xfId="5" applyFont="1" applyFill="1" applyBorder="1" applyAlignment="1">
      <alignment horizontal="left"/>
    </xf>
    <xf numFmtId="0" fontId="8" fillId="2" borderId="1" xfId="5" applyFont="1" applyFill="1" applyBorder="1" applyAlignment="1">
      <alignment horizontal="right"/>
    </xf>
    <xf numFmtId="164" fontId="4" fillId="0" borderId="36" xfId="5" applyNumberFormat="1" applyFont="1" applyBorder="1" applyAlignment="1" applyProtection="1">
      <alignment vertical="center"/>
      <protection locked="0"/>
    </xf>
    <xf numFmtId="0" fontId="0" fillId="0" borderId="6" xfId="5" applyFont="1" applyBorder="1" applyAlignment="1" applyProtection="1">
      <alignment horizontal="right"/>
      <protection locked="0"/>
    </xf>
    <xf numFmtId="0" fontId="0" fillId="0" borderId="7" xfId="5" applyFont="1" applyBorder="1" applyAlignment="1" applyProtection="1">
      <alignment horizontal="right"/>
      <protection locked="0"/>
    </xf>
    <xf numFmtId="0" fontId="16" fillId="0" borderId="0" xfId="5" applyFont="1" applyAlignment="1">
      <alignment horizont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4" fillId="2" borderId="0" xfId="5" applyFont="1" applyFill="1" applyAlignment="1" applyProtection="1">
      <alignment horizontal="left" vertical="center"/>
      <protection locked="0"/>
    </xf>
    <xf numFmtId="0" fontId="4" fillId="2" borderId="1" xfId="5" applyFont="1" applyFill="1" applyBorder="1" applyAlignment="1" applyProtection="1">
      <alignment horizontal="left" vertical="center"/>
      <protection locked="0"/>
    </xf>
    <xf numFmtId="0" fontId="4" fillId="0" borderId="33" xfId="5" applyFont="1" applyBorder="1" applyAlignment="1">
      <alignment horizontal="left" vertical="center"/>
    </xf>
    <xf numFmtId="0" fontId="4" fillId="0" borderId="16" xfId="5" applyFont="1" applyBorder="1" applyAlignment="1" applyProtection="1">
      <alignment horizontal="left"/>
      <protection locked="0"/>
    </xf>
    <xf numFmtId="0" fontId="4" fillId="0" borderId="17" xfId="5" applyFont="1" applyBorder="1" applyAlignment="1" applyProtection="1">
      <alignment horizontal="left"/>
      <protection locked="0"/>
    </xf>
    <xf numFmtId="0" fontId="4" fillId="0" borderId="18" xfId="5" applyFont="1" applyBorder="1" applyAlignment="1" applyProtection="1">
      <alignment horizontal="left"/>
      <protection locked="0"/>
    </xf>
    <xf numFmtId="0" fontId="27" fillId="0" borderId="0" xfId="5" applyAlignment="1">
      <alignment horizontal="right" vertical="center" wrapText="1"/>
    </xf>
    <xf numFmtId="0" fontId="1" fillId="0" borderId="0" xfId="5" applyFont="1" applyAlignment="1">
      <alignment horizontal="right" vertical="center" wrapText="1"/>
    </xf>
    <xf numFmtId="0" fontId="1" fillId="0" borderId="0" xfId="5" applyFont="1" applyAlignment="1">
      <alignment vertical="center" wrapText="1"/>
    </xf>
    <xf numFmtId="0" fontId="15" fillId="0" borderId="33" xfId="5" applyFont="1" applyBorder="1" applyAlignment="1">
      <alignment horizontal="center" vertical="top"/>
    </xf>
    <xf numFmtId="0" fontId="4" fillId="0" borderId="0" xfId="5" applyFont="1" applyAlignment="1">
      <alignment horizontal="right" vertical="center"/>
    </xf>
    <xf numFmtId="164" fontId="4" fillId="2" borderId="1" xfId="5" applyNumberFormat="1" applyFont="1" applyFill="1" applyBorder="1" applyAlignment="1" applyProtection="1">
      <alignment horizontal="center" vertical="center"/>
      <protection locked="0"/>
    </xf>
    <xf numFmtId="0" fontId="15" fillId="0" borderId="33" xfId="5" applyFont="1" applyBorder="1" applyAlignment="1">
      <alignment horizontal="center" vertical="top" wrapText="1"/>
    </xf>
    <xf numFmtId="0" fontId="15" fillId="0" borderId="0" xfId="5" applyFont="1" applyAlignment="1">
      <alignment horizontal="center" vertical="top" wrapText="1"/>
    </xf>
    <xf numFmtId="0" fontId="4" fillId="0" borderId="33" xfId="5" applyFont="1" applyBorder="1" applyAlignment="1">
      <alignment horizontal="center" vertical="center"/>
    </xf>
    <xf numFmtId="164" fontId="4" fillId="0" borderId="35" xfId="5" applyNumberFormat="1" applyFont="1" applyBorder="1" applyAlignment="1">
      <alignment vertical="center"/>
    </xf>
    <xf numFmtId="164" fontId="4" fillId="0" borderId="36" xfId="5" applyNumberFormat="1" applyFont="1" applyBorder="1" applyAlignment="1">
      <alignment vertical="center"/>
    </xf>
    <xf numFmtId="0" fontId="4" fillId="0" borderId="0" xfId="5" applyFont="1" applyAlignment="1">
      <alignment horizontal="left"/>
    </xf>
    <xf numFmtId="0" fontId="4" fillId="0" borderId="11" xfId="5" applyFont="1" applyBorder="1" applyAlignment="1">
      <alignment horizontal="left"/>
    </xf>
    <xf numFmtId="0" fontId="4" fillId="0" borderId="31" xfId="5" applyFont="1" applyBorder="1" applyAlignment="1">
      <alignment horizontal="center"/>
    </xf>
    <xf numFmtId="0" fontId="4" fillId="0" borderId="32" xfId="5" applyFont="1" applyBorder="1" applyAlignment="1">
      <alignment horizontal="center"/>
    </xf>
    <xf numFmtId="0" fontId="4" fillId="0" borderId="10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9" fillId="2" borderId="1" xfId="5" applyFont="1" applyFill="1" applyBorder="1" applyProtection="1">
      <protection locked="0"/>
    </xf>
    <xf numFmtId="0" fontId="9" fillId="2" borderId="15" xfId="5" applyFont="1" applyFill="1" applyBorder="1" applyProtection="1">
      <protection locked="0"/>
    </xf>
    <xf numFmtId="0" fontId="4" fillId="0" borderId="0" xfId="5" applyFont="1"/>
    <xf numFmtId="0" fontId="0" fillId="0" borderId="9" xfId="5" applyFont="1" applyBorder="1" applyAlignment="1">
      <alignment horizontal="left" vertical="center"/>
    </xf>
    <xf numFmtId="0" fontId="5" fillId="2" borderId="0" xfId="5" applyFont="1" applyFill="1" applyAlignment="1" applyProtection="1">
      <alignment horizontal="center" vertical="center"/>
      <protection locked="0"/>
    </xf>
    <xf numFmtId="0" fontId="9" fillId="2" borderId="1" xfId="5" applyFont="1" applyFill="1" applyBorder="1" applyAlignment="1" applyProtection="1">
      <alignment wrapText="1"/>
      <protection locked="0"/>
    </xf>
    <xf numFmtId="0" fontId="9" fillId="2" borderId="15" xfId="5" applyFont="1" applyFill="1" applyBorder="1" applyAlignment="1" applyProtection="1">
      <alignment wrapText="1"/>
      <protection locked="0"/>
    </xf>
    <xf numFmtId="0" fontId="27" fillId="0" borderId="9" xfId="5" applyBorder="1" applyAlignment="1">
      <alignment horizontal="left" vertical="center"/>
    </xf>
    <xf numFmtId="0" fontId="4" fillId="2" borderId="1" xfId="5" applyFont="1" applyFill="1" applyBorder="1" applyAlignment="1" applyProtection="1">
      <alignment horizontal="center"/>
      <protection locked="0"/>
    </xf>
    <xf numFmtId="0" fontId="4" fillId="0" borderId="16" xfId="5" applyFont="1" applyBorder="1" applyAlignment="1">
      <alignment horizontal="center"/>
    </xf>
    <xf numFmtId="0" fontId="4" fillId="0" borderId="17" xfId="5" applyFont="1" applyBorder="1" applyAlignment="1">
      <alignment horizontal="center"/>
    </xf>
    <xf numFmtId="0" fontId="4" fillId="0" borderId="18" xfId="5" applyFont="1" applyBorder="1" applyAlignment="1">
      <alignment horizontal="center"/>
    </xf>
    <xf numFmtId="0" fontId="27" fillId="0" borderId="0" xfId="5" applyAlignment="1">
      <alignment vertical="center" wrapText="1"/>
    </xf>
    <xf numFmtId="0" fontId="4" fillId="0" borderId="47" xfId="5" applyFont="1" applyBorder="1" applyAlignment="1">
      <alignment horizontal="center"/>
    </xf>
    <xf numFmtId="164" fontId="4" fillId="0" borderId="35" xfId="5" applyNumberFormat="1" applyFont="1" applyBorder="1" applyAlignment="1" applyProtection="1">
      <alignment vertical="center"/>
      <protection locked="0"/>
    </xf>
    <xf numFmtId="164" fontId="4" fillId="0" borderId="36" xfId="5" applyNumberFormat="1" applyFont="1" applyBorder="1" applyAlignment="1" applyProtection="1">
      <alignment vertical="center"/>
      <protection locked="0"/>
    </xf>
    <xf numFmtId="0" fontId="4" fillId="2" borderId="0" xfId="5" applyFont="1" applyFill="1" applyAlignment="1">
      <alignment horizontal="left" vertical="center"/>
    </xf>
    <xf numFmtId="0" fontId="4" fillId="2" borderId="1" xfId="5" applyFont="1" applyFill="1" applyBorder="1" applyAlignment="1">
      <alignment horizontal="left" vertical="center"/>
    </xf>
    <xf numFmtId="164" fontId="4" fillId="2" borderId="1" xfId="5" applyNumberFormat="1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/>
    </xf>
    <xf numFmtId="0" fontId="5" fillId="0" borderId="0" xfId="5" applyFont="1" applyAlignment="1">
      <alignment horizontal="center" vertical="center"/>
    </xf>
    <xf numFmtId="0" fontId="9" fillId="2" borderId="1" xfId="5" applyFont="1" applyFill="1" applyBorder="1" applyAlignment="1">
      <alignment wrapText="1"/>
    </xf>
  </cellXfs>
  <cellStyles count="6">
    <cellStyle name="Hiperłącze" xfId="1" builtinId="8"/>
    <cellStyle name="Normalny" xfId="0" builtinId="0"/>
    <cellStyle name="Normalny 2" xfId="5" xr:uid="{00000000-0005-0000-0000-000002000000}"/>
    <cellStyle name="Normalny_kosztorysy_nowe_05" xfId="2" xr:uid="{00000000-0005-0000-0000-000003000000}"/>
    <cellStyle name="Procentowy" xfId="3" builtinId="5"/>
    <cellStyle name="Walutowy" xfId="4" builtinId="4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Trellis"/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Trellis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darkTrellis"/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Trellis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AN154"/>
  <sheetViews>
    <sheetView showGridLines="0" tabSelected="1" view="pageBreakPreview" zoomScaleNormal="100" zoomScaleSheetLayoutView="100" workbookViewId="0">
      <selection activeCell="I2" sqref="I2:L2"/>
    </sheetView>
  </sheetViews>
  <sheetFormatPr defaultRowHeight="12.75" x14ac:dyDescent="0.2"/>
  <cols>
    <col min="1" max="1" width="9.140625" style="43"/>
    <col min="2" max="2" width="6.42578125" style="43" customWidth="1"/>
    <col min="3" max="3" width="13.7109375" style="43" customWidth="1"/>
    <col min="4" max="4" width="6.42578125" style="43" customWidth="1"/>
    <col min="5" max="8" width="16" style="43" customWidth="1"/>
    <col min="9" max="9" width="17.5703125" style="43" bestFit="1" customWidth="1"/>
    <col min="10" max="10" width="15.85546875" style="43" customWidth="1"/>
    <col min="11" max="11" width="14.85546875" style="43" hidden="1" customWidth="1"/>
    <col min="12" max="12" width="17.140625" style="43" customWidth="1"/>
    <col min="13" max="13" width="99.28515625" style="43" customWidth="1"/>
    <col min="14" max="14" width="9.140625" style="43"/>
    <col min="15" max="15" width="10.140625" style="43" bestFit="1" customWidth="1"/>
    <col min="16" max="16" width="9.140625" style="43"/>
    <col min="17" max="17" width="10.28515625" style="43" bestFit="1" customWidth="1"/>
    <col min="18" max="18" width="9.140625" style="43"/>
    <col min="19" max="19" width="10.140625" style="43" bestFit="1" customWidth="1"/>
    <col min="20" max="24" width="9.140625" style="43"/>
    <col min="25" max="25" width="12.85546875" style="43" bestFit="1" customWidth="1"/>
    <col min="26" max="16384" width="9.140625" style="43"/>
  </cols>
  <sheetData>
    <row r="1" spans="2:35" ht="13.5" thickBot="1" x14ac:dyDescent="0.25"/>
    <row r="2" spans="2:35" ht="13.5" thickTop="1" x14ac:dyDescent="0.2">
      <c r="B2" s="165"/>
      <c r="C2" s="65"/>
      <c r="D2" s="65"/>
      <c r="E2" s="65"/>
      <c r="F2" s="65"/>
      <c r="G2" s="65"/>
      <c r="H2" s="65"/>
      <c r="I2" s="231" t="s">
        <v>237</v>
      </c>
      <c r="J2" s="231"/>
      <c r="K2" s="231"/>
      <c r="L2" s="232"/>
    </row>
    <row r="3" spans="2:35" ht="20.25" customHeight="1" x14ac:dyDescent="0.2">
      <c r="B3" s="38"/>
      <c r="C3" s="67"/>
      <c r="D3" s="68"/>
      <c r="E3" s="68"/>
      <c r="F3" s="68"/>
      <c r="G3" s="68"/>
      <c r="H3" s="68"/>
      <c r="I3" s="68"/>
      <c r="J3" s="69" t="s">
        <v>0</v>
      </c>
      <c r="K3" s="69"/>
      <c r="L3" s="163"/>
    </row>
    <row r="4" spans="2:35" ht="23.25" customHeight="1" x14ac:dyDescent="0.2">
      <c r="B4" s="38"/>
      <c r="C4" s="68"/>
      <c r="D4" s="68"/>
      <c r="E4" s="68"/>
      <c r="F4" s="68"/>
      <c r="G4" s="68"/>
      <c r="H4" s="68"/>
      <c r="I4" s="68"/>
      <c r="J4" s="68"/>
      <c r="K4" s="68"/>
      <c r="L4" s="70"/>
    </row>
    <row r="5" spans="2:35" ht="18" customHeight="1" x14ac:dyDescent="0.25">
      <c r="B5" s="71"/>
      <c r="C5" s="72"/>
      <c r="D5" s="72"/>
      <c r="E5" s="265" t="s">
        <v>2</v>
      </c>
      <c r="F5" s="265"/>
      <c r="G5" s="265"/>
      <c r="H5" s="265"/>
      <c r="I5" s="265"/>
      <c r="J5" s="41"/>
      <c r="K5" s="41"/>
      <c r="L5" s="42"/>
    </row>
    <row r="6" spans="2:35" ht="18" customHeight="1" x14ac:dyDescent="0.25">
      <c r="B6" s="73"/>
      <c r="C6" s="74"/>
      <c r="D6" s="74"/>
      <c r="E6" s="74"/>
      <c r="F6" s="74"/>
      <c r="G6" s="74"/>
      <c r="H6" s="74"/>
      <c r="I6" s="74"/>
      <c r="J6" s="74"/>
      <c r="K6" s="74"/>
      <c r="L6" s="37"/>
      <c r="N6" s="45"/>
    </row>
    <row r="7" spans="2:35" ht="18" customHeight="1" x14ac:dyDescent="0.25">
      <c r="B7" s="75"/>
      <c r="C7" s="76"/>
      <c r="D7" s="76"/>
      <c r="E7" s="76"/>
      <c r="F7" s="77" t="s">
        <v>3</v>
      </c>
      <c r="G7" s="143"/>
      <c r="H7" s="144"/>
      <c r="I7" s="68"/>
      <c r="J7" s="77" t="s">
        <v>4</v>
      </c>
      <c r="K7" s="77"/>
      <c r="L7" s="142" t="s">
        <v>5</v>
      </c>
      <c r="AI7" s="46"/>
    </row>
    <row r="8" spans="2:35" x14ac:dyDescent="0.2">
      <c r="B8" s="38"/>
      <c r="C8" s="68"/>
      <c r="D8" s="68"/>
      <c r="E8" s="68"/>
      <c r="F8" s="68"/>
      <c r="G8" s="78"/>
      <c r="H8" s="79"/>
      <c r="I8" s="68"/>
      <c r="J8" s="68"/>
      <c r="K8" s="68"/>
      <c r="L8" s="70"/>
    </row>
    <row r="9" spans="2:35" x14ac:dyDescent="0.2">
      <c r="B9" s="38"/>
      <c r="C9" s="68"/>
      <c r="D9" s="68"/>
      <c r="E9" s="68"/>
      <c r="F9" s="68"/>
      <c r="G9" s="68"/>
      <c r="H9" s="68"/>
      <c r="I9" s="68"/>
      <c r="J9" s="68"/>
      <c r="K9" s="68"/>
      <c r="L9" s="70"/>
    </row>
    <row r="10" spans="2:35" ht="18" customHeight="1" x14ac:dyDescent="0.25">
      <c r="B10" s="259" t="s">
        <v>218</v>
      </c>
      <c r="C10" s="260"/>
      <c r="D10" s="260"/>
      <c r="E10" s="260"/>
      <c r="F10" s="266"/>
      <c r="G10" s="266"/>
      <c r="H10" s="266"/>
      <c r="I10" s="266"/>
      <c r="J10" s="266"/>
      <c r="K10" s="266"/>
      <c r="L10" s="267"/>
    </row>
    <row r="11" spans="2:35" ht="18" customHeight="1" x14ac:dyDescent="0.25">
      <c r="B11" s="259" t="s">
        <v>109</v>
      </c>
      <c r="C11" s="260"/>
      <c r="D11" s="260"/>
      <c r="E11" s="260"/>
      <c r="F11" s="261"/>
      <c r="G11" s="261"/>
      <c r="H11" s="261"/>
      <c r="I11" s="261"/>
      <c r="J11" s="261"/>
      <c r="K11" s="261"/>
      <c r="L11" s="262"/>
      <c r="Y11" s="47"/>
    </row>
    <row r="12" spans="2:35" ht="18" customHeight="1" x14ac:dyDescent="0.25">
      <c r="B12" s="259" t="s">
        <v>219</v>
      </c>
      <c r="C12" s="260"/>
      <c r="D12" s="260"/>
      <c r="E12" s="260"/>
      <c r="F12" s="261"/>
      <c r="G12" s="261"/>
      <c r="H12" s="261"/>
      <c r="I12" s="261"/>
      <c r="J12" s="261"/>
      <c r="K12" s="261"/>
      <c r="L12" s="262"/>
    </row>
    <row r="13" spans="2:35" ht="18" customHeight="1" x14ac:dyDescent="0.25">
      <c r="B13" s="259" t="s">
        <v>220</v>
      </c>
      <c r="C13" s="260"/>
      <c r="D13" s="260"/>
      <c r="E13" s="260"/>
      <c r="F13" s="145"/>
      <c r="G13" s="263" t="s">
        <v>194</v>
      </c>
      <c r="H13" s="263"/>
      <c r="I13" s="263"/>
      <c r="J13" s="80"/>
      <c r="K13" s="80"/>
      <c r="L13" s="81"/>
    </row>
    <row r="14" spans="2:35" ht="18" customHeight="1" x14ac:dyDescent="0.25">
      <c r="B14" s="259" t="s">
        <v>221</v>
      </c>
      <c r="C14" s="260"/>
      <c r="D14" s="260"/>
      <c r="E14" s="145"/>
      <c r="F14" s="145"/>
      <c r="G14" s="260" t="s">
        <v>113</v>
      </c>
      <c r="H14" s="260"/>
      <c r="I14" s="145"/>
      <c r="J14" s="145"/>
      <c r="K14" s="82"/>
      <c r="L14" s="81"/>
    </row>
    <row r="15" spans="2:35" ht="12" customHeight="1" x14ac:dyDescent="0.2">
      <c r="B15" s="83"/>
      <c r="C15" s="80"/>
      <c r="D15" s="80"/>
      <c r="E15" s="84" t="s">
        <v>9</v>
      </c>
      <c r="F15" s="84" t="s">
        <v>10</v>
      </c>
      <c r="G15" s="85"/>
      <c r="H15" s="85"/>
      <c r="I15" s="84" t="s">
        <v>9</v>
      </c>
      <c r="J15" s="84" t="s">
        <v>10</v>
      </c>
      <c r="K15" s="84"/>
      <c r="L15" s="81"/>
    </row>
    <row r="16" spans="2:35" ht="18" customHeight="1" x14ac:dyDescent="0.25">
      <c r="B16" s="259" t="s">
        <v>114</v>
      </c>
      <c r="C16" s="260"/>
      <c r="D16" s="260"/>
      <c r="E16" s="151">
        <f>SUM(G37:G43,H37:H43,F51:G54)</f>
        <v>0</v>
      </c>
      <c r="F16" s="80"/>
      <c r="G16" s="86"/>
      <c r="H16" s="87"/>
      <c r="I16" s="80"/>
      <c r="J16" s="255"/>
      <c r="K16" s="255"/>
      <c r="L16" s="256"/>
    </row>
    <row r="17" spans="2:40" ht="18" customHeight="1" x14ac:dyDescent="0.2">
      <c r="B17" s="83"/>
      <c r="C17" s="80"/>
      <c r="D17" s="80"/>
      <c r="E17" s="68"/>
      <c r="F17" s="69"/>
      <c r="G17" s="86"/>
      <c r="H17" s="87"/>
      <c r="I17" s="69"/>
      <c r="J17" s="255"/>
      <c r="K17" s="255"/>
      <c r="L17" s="256"/>
      <c r="AG17" s="48"/>
      <c r="AH17" s="49"/>
      <c r="AJ17" s="48"/>
      <c r="AK17" s="48"/>
      <c r="AL17" s="48"/>
      <c r="AM17" s="48"/>
    </row>
    <row r="18" spans="2:40" ht="18" customHeight="1" x14ac:dyDescent="0.2">
      <c r="B18" s="259" t="s">
        <v>217</v>
      </c>
      <c r="C18" s="260"/>
      <c r="D18" s="260"/>
      <c r="E18" s="260"/>
      <c r="F18" s="269"/>
      <c r="G18" s="269"/>
      <c r="H18" s="80"/>
      <c r="I18" s="80"/>
      <c r="J18" s="255"/>
      <c r="K18" s="255"/>
      <c r="L18" s="256"/>
      <c r="AG18" s="48"/>
      <c r="AH18" s="49"/>
      <c r="AJ18" s="48"/>
      <c r="AK18" s="48"/>
      <c r="AL18" s="48"/>
      <c r="AM18" s="48"/>
    </row>
    <row r="19" spans="2:40" ht="18" customHeight="1" x14ac:dyDescent="0.2">
      <c r="B19" s="83"/>
      <c r="C19" s="80"/>
      <c r="D19" s="80"/>
      <c r="E19" s="68"/>
      <c r="F19" s="69"/>
      <c r="G19" s="68"/>
      <c r="H19" s="68"/>
      <c r="I19" s="68"/>
      <c r="J19" s="80"/>
      <c r="K19" s="80"/>
      <c r="L19" s="81"/>
      <c r="AG19" s="48"/>
      <c r="AH19" s="49"/>
      <c r="AJ19" s="48"/>
      <c r="AK19" s="48"/>
      <c r="AL19" s="48"/>
      <c r="AM19" s="48"/>
    </row>
    <row r="20" spans="2:40" ht="15" thickBot="1" x14ac:dyDescent="0.25">
      <c r="B20" s="83"/>
      <c r="C20" s="80"/>
      <c r="D20" s="80"/>
      <c r="E20" s="80"/>
      <c r="F20" s="80"/>
      <c r="G20" s="80"/>
      <c r="H20" s="80"/>
      <c r="I20" s="80"/>
      <c r="J20" s="80"/>
      <c r="K20" s="80"/>
      <c r="L20" s="81"/>
      <c r="AG20" s="48"/>
      <c r="AH20" s="49"/>
      <c r="AJ20" s="48"/>
      <c r="AK20" s="48"/>
      <c r="AL20" s="48"/>
      <c r="AM20" s="48"/>
    </row>
    <row r="21" spans="2:40" s="44" customFormat="1" ht="17.25" thickTop="1" thickBot="1" x14ac:dyDescent="0.25">
      <c r="B21" s="88" t="s">
        <v>18</v>
      </c>
      <c r="C21" s="89"/>
      <c r="D21" s="89"/>
      <c r="E21" s="89"/>
      <c r="F21" s="89"/>
      <c r="G21" s="89"/>
      <c r="H21" s="89"/>
      <c r="I21" s="89"/>
      <c r="J21" s="89"/>
      <c r="K21" s="89"/>
      <c r="L21" s="90" t="s">
        <v>19</v>
      </c>
      <c r="Y21" s="43"/>
      <c r="Z21" s="43"/>
      <c r="AF21" s="43"/>
      <c r="AG21" s="50"/>
      <c r="AH21" s="49"/>
      <c r="AI21" s="43"/>
      <c r="AJ21" s="50"/>
      <c r="AK21" s="50"/>
      <c r="AL21" s="50"/>
      <c r="AM21" s="50"/>
      <c r="AN21" s="43"/>
    </row>
    <row r="22" spans="2:40" s="44" customFormat="1" ht="21.95" customHeight="1" thickTop="1" x14ac:dyDescent="0.2">
      <c r="B22" s="91"/>
      <c r="C22" s="92"/>
      <c r="D22" s="92"/>
      <c r="E22" s="92"/>
      <c r="F22" s="93"/>
      <c r="G22" s="93"/>
      <c r="H22" s="93"/>
      <c r="I22" s="93"/>
      <c r="J22" s="168"/>
      <c r="K22" s="94"/>
      <c r="L22" s="95"/>
      <c r="Y22" s="43"/>
      <c r="Z22" s="43"/>
      <c r="AA22" s="43"/>
      <c r="AB22" s="43"/>
      <c r="AC22" s="43"/>
      <c r="AD22" s="43"/>
      <c r="AE22" s="43"/>
      <c r="AF22" s="43"/>
      <c r="AG22" s="50"/>
      <c r="AH22" s="49"/>
      <c r="AI22" s="43"/>
      <c r="AJ22" s="50"/>
      <c r="AK22" s="50"/>
      <c r="AL22" s="50"/>
      <c r="AM22" s="50"/>
      <c r="AN22" s="43"/>
    </row>
    <row r="23" spans="2:40" ht="15.75" x14ac:dyDescent="0.2">
      <c r="B23" s="96"/>
      <c r="C23" s="97"/>
      <c r="D23" s="97"/>
      <c r="E23" s="154" t="str">
        <f>IF(E5="KOSZTORYS STUDIÓW NIESTACJONARNYCH",Arkusz2!B4,Arkusz2!B2)</f>
        <v>semestr I</v>
      </c>
      <c r="F23" s="154" t="str">
        <f>IF(E5="KOSZTORYS STUDIÓW NIESTACJONARNYCH",Arkusz2!C4,Arkusz2!C2)</f>
        <v>semestr II</v>
      </c>
      <c r="G23" s="154" t="str">
        <f>IF(E5="KOSZTORYS STUDIÓW NIESTACJONARNYCH",Arkusz2!D4,Arkusz2!D2)</f>
        <v>semestr III</v>
      </c>
      <c r="H23" s="154" t="str">
        <f>IF(E5="KOSZTORYS STUDIÓW NIESTACJONARNYCH",Arkusz2!E4,Arkusz2!E2)</f>
        <v>semestr IV</v>
      </c>
      <c r="I23" s="154" t="str">
        <f>IF(E5="KOSZTORYS STUDIÓW NIESTACJONARNYCH",Arkusz2!F4,Arkusz2!F2)</f>
        <v>semestr V</v>
      </c>
      <c r="J23" s="207"/>
      <c r="K23" s="70"/>
      <c r="L23" s="35"/>
      <c r="AG23" s="48"/>
      <c r="AH23" s="49"/>
      <c r="AJ23" s="48"/>
      <c r="AK23" s="48"/>
      <c r="AL23" s="48"/>
      <c r="AM23" s="48"/>
    </row>
    <row r="24" spans="2:40" ht="18" customHeight="1" x14ac:dyDescent="0.2">
      <c r="B24" s="98" t="s">
        <v>119</v>
      </c>
      <c r="C24" s="97" t="str">
        <f>IF(E5="KOSZTORYS STUDIÓW NIESTACJONARNYCH",Arkusz2!B15,Arkusz2!B14)</f>
        <v>Opłata semestralna:</v>
      </c>
      <c r="D24" s="97"/>
      <c r="E24" s="146"/>
      <c r="F24" s="146"/>
      <c r="G24" s="146"/>
      <c r="H24" s="146"/>
      <c r="I24" s="146"/>
      <c r="J24" s="208"/>
      <c r="K24" s="99"/>
      <c r="L24" s="35"/>
      <c r="AB24" s="48"/>
      <c r="AG24" s="48"/>
      <c r="AH24" s="49"/>
      <c r="AI24" s="44"/>
      <c r="AJ24" s="48"/>
      <c r="AK24" s="48"/>
      <c r="AL24" s="48"/>
      <c r="AM24" s="48"/>
    </row>
    <row r="25" spans="2:40" ht="18" customHeight="1" x14ac:dyDescent="0.2">
      <c r="B25" s="98" t="s">
        <v>121</v>
      </c>
      <c r="C25" s="97" t="s">
        <v>27</v>
      </c>
      <c r="D25" s="97"/>
      <c r="E25" s="31"/>
      <c r="F25" s="31"/>
      <c r="G25" s="31"/>
      <c r="H25" s="31"/>
      <c r="I25" s="31"/>
      <c r="J25" s="109"/>
      <c r="K25" s="99"/>
      <c r="L25" s="100"/>
      <c r="AG25" s="48"/>
      <c r="AH25" s="49"/>
      <c r="AJ25" s="48"/>
      <c r="AK25" s="48"/>
      <c r="AL25" s="48"/>
      <c r="AM25" s="48"/>
    </row>
    <row r="26" spans="2:40" ht="10.5" customHeight="1" x14ac:dyDescent="0.2">
      <c r="B26" s="38"/>
      <c r="C26" s="68"/>
      <c r="D26" s="80"/>
      <c r="E26" s="80"/>
      <c r="F26" s="68"/>
      <c r="G26" s="68"/>
      <c r="H26" s="68"/>
      <c r="I26" s="68"/>
      <c r="J26" s="109"/>
      <c r="K26" s="99"/>
      <c r="L26" s="100"/>
      <c r="Y26" s="46"/>
      <c r="AG26" s="48"/>
      <c r="AH26" s="49"/>
      <c r="AJ26" s="48"/>
      <c r="AK26" s="48"/>
      <c r="AL26" s="48"/>
      <c r="AM26" s="48"/>
    </row>
    <row r="27" spans="2:40" ht="15" customHeight="1" x14ac:dyDescent="0.2">
      <c r="B27" s="38"/>
      <c r="C27" s="68"/>
      <c r="D27" s="80"/>
      <c r="E27" s="80"/>
      <c r="F27" s="68"/>
      <c r="G27" s="120" t="s">
        <v>209</v>
      </c>
      <c r="H27" s="120"/>
      <c r="I27" s="120"/>
      <c r="J27" s="120"/>
      <c r="K27" s="80"/>
      <c r="L27" s="40">
        <f>(E24*E25)+(F24*F25)+(G24*G25)+(H24*H25)+(I24*I25)</f>
        <v>0</v>
      </c>
      <c r="Y27" s="46"/>
      <c r="AG27" s="48"/>
      <c r="AH27" s="49"/>
      <c r="AJ27" s="48"/>
      <c r="AK27" s="48"/>
      <c r="AL27" s="48"/>
      <c r="AM27" s="48"/>
    </row>
    <row r="28" spans="2:40" ht="15" customHeight="1" x14ac:dyDescent="0.2">
      <c r="B28" s="83"/>
      <c r="C28" s="176"/>
      <c r="D28" s="80"/>
      <c r="E28" s="80"/>
      <c r="F28" s="80"/>
      <c r="G28" s="120" t="s">
        <v>210</v>
      </c>
      <c r="H28" s="120"/>
      <c r="I28" s="120"/>
      <c r="J28" s="120"/>
      <c r="K28" s="80"/>
      <c r="L28" s="40">
        <f>ROUND((((E24*E25)*(20%))+((F24*F25)*(10%))+((G24*G25)*(5%))+((H24*H25)*(2.5%))+((I24*I25))*(1.25%)),0)</f>
        <v>0</v>
      </c>
    </row>
    <row r="29" spans="2:40" ht="10.5" customHeight="1" x14ac:dyDescent="0.2">
      <c r="B29" s="38"/>
      <c r="C29" s="68"/>
      <c r="D29" s="80"/>
      <c r="E29" s="80"/>
      <c r="F29" s="68"/>
      <c r="G29" s="68"/>
      <c r="H29" s="68"/>
      <c r="I29" s="68"/>
      <c r="J29" s="109"/>
      <c r="K29" s="99"/>
      <c r="L29" s="100"/>
      <c r="Y29" s="46"/>
      <c r="AG29" s="48"/>
      <c r="AH29" s="49"/>
      <c r="AJ29" s="48"/>
      <c r="AK29" s="48"/>
      <c r="AL29" s="48"/>
      <c r="AM29" s="48"/>
    </row>
    <row r="30" spans="2:40" ht="15" x14ac:dyDescent="0.25">
      <c r="B30" s="101"/>
      <c r="C30" s="80"/>
      <c r="D30" s="80"/>
      <c r="E30" s="80"/>
      <c r="F30" s="80"/>
      <c r="G30" s="80"/>
      <c r="H30" s="80"/>
      <c r="I30" s="80"/>
      <c r="J30" s="77" t="s">
        <v>207</v>
      </c>
      <c r="K30" s="99"/>
      <c r="L30" s="30">
        <f>L27-L28</f>
        <v>0</v>
      </c>
      <c r="M30" s="45"/>
      <c r="N30" s="45"/>
      <c r="O30" s="45"/>
      <c r="P30" s="45"/>
      <c r="Q30" s="45"/>
      <c r="R30" s="45"/>
      <c r="AG30" s="48"/>
      <c r="AH30" s="49"/>
      <c r="AJ30" s="48"/>
      <c r="AK30" s="48"/>
      <c r="AL30" s="48"/>
      <c r="AM30" s="48"/>
    </row>
    <row r="31" spans="2:40" ht="15" thickBot="1" x14ac:dyDescent="0.25">
      <c r="B31" s="102"/>
      <c r="C31" s="103"/>
      <c r="D31" s="103"/>
      <c r="E31" s="103"/>
      <c r="F31" s="103"/>
      <c r="G31" s="103"/>
      <c r="H31" s="103"/>
      <c r="I31" s="103"/>
      <c r="J31" s="103"/>
      <c r="K31" s="104"/>
      <c r="L31" s="105"/>
      <c r="AG31" s="48"/>
      <c r="AH31" s="49"/>
      <c r="AJ31" s="48"/>
      <c r="AK31" s="48"/>
      <c r="AL31" s="48"/>
      <c r="AM31" s="48"/>
    </row>
    <row r="32" spans="2:40" s="44" customFormat="1" ht="21.95" customHeight="1" thickTop="1" thickBot="1" x14ac:dyDescent="0.25">
      <c r="B32" s="88" t="s">
        <v>123</v>
      </c>
      <c r="C32" s="89"/>
      <c r="D32" s="89"/>
      <c r="E32" s="89"/>
      <c r="F32" s="89"/>
      <c r="G32" s="89"/>
      <c r="H32" s="89"/>
      <c r="I32" s="89"/>
      <c r="J32" s="89"/>
      <c r="K32" s="89"/>
      <c r="L32" s="90" t="s">
        <v>19</v>
      </c>
    </row>
    <row r="33" spans="2:21" ht="20.100000000000001" customHeight="1" thickTop="1" x14ac:dyDescent="0.2">
      <c r="B33" s="106"/>
      <c r="C33" s="107" t="s">
        <v>119</v>
      </c>
      <c r="D33" s="80" t="s">
        <v>67</v>
      </c>
      <c r="E33" s="80"/>
      <c r="F33" s="80"/>
      <c r="G33" s="80"/>
      <c r="H33" s="80"/>
      <c r="I33" s="80"/>
      <c r="J33" s="80"/>
      <c r="K33" s="80"/>
      <c r="L33" s="105"/>
    </row>
    <row r="34" spans="2:21" ht="15" customHeight="1" x14ac:dyDescent="0.2">
      <c r="B34" s="106"/>
      <c r="C34" s="108"/>
      <c r="D34" s="80"/>
      <c r="E34" s="80"/>
      <c r="F34" s="80"/>
      <c r="G34" s="80"/>
      <c r="H34" s="80"/>
      <c r="I34" s="80"/>
      <c r="J34" s="80"/>
      <c r="K34" s="80"/>
      <c r="L34" s="105"/>
    </row>
    <row r="35" spans="2:21" ht="18" customHeight="1" x14ac:dyDescent="0.2">
      <c r="B35" s="106"/>
      <c r="C35" s="80"/>
      <c r="D35" s="80"/>
      <c r="E35" s="80"/>
      <c r="F35" s="80"/>
      <c r="G35" s="173" t="s">
        <v>36</v>
      </c>
      <c r="H35" s="257" t="s">
        <v>37</v>
      </c>
      <c r="I35" s="258"/>
      <c r="J35" s="80"/>
      <c r="K35" s="80"/>
      <c r="L35" s="105"/>
      <c r="O35" s="51"/>
    </row>
    <row r="36" spans="2:21" ht="18" customHeight="1" x14ac:dyDescent="0.2">
      <c r="B36" s="106"/>
      <c r="C36" s="270" t="s">
        <v>32</v>
      </c>
      <c r="D36" s="271"/>
      <c r="E36" s="271"/>
      <c r="F36" s="272"/>
      <c r="G36" s="172" t="s">
        <v>38</v>
      </c>
      <c r="H36" s="154" t="s">
        <v>38</v>
      </c>
      <c r="I36" s="154" t="s">
        <v>39</v>
      </c>
      <c r="J36" s="80"/>
      <c r="K36" s="80"/>
      <c r="L36" s="105"/>
      <c r="M36" s="52"/>
      <c r="N36" s="52"/>
      <c r="O36" s="51"/>
      <c r="P36" s="52"/>
      <c r="Q36" s="53"/>
    </row>
    <row r="37" spans="2:21" ht="18" customHeight="1" x14ac:dyDescent="0.2">
      <c r="B37" s="106"/>
      <c r="C37" s="264" t="s">
        <v>65</v>
      </c>
      <c r="D37" s="264"/>
      <c r="E37" s="264"/>
      <c r="F37" s="264"/>
      <c r="G37" s="204"/>
      <c r="H37" s="204"/>
      <c r="I37" s="171">
        <v>108</v>
      </c>
      <c r="J37" s="2"/>
      <c r="K37" s="5">
        <f>H37*I37</f>
        <v>0</v>
      </c>
      <c r="L37" s="35">
        <f>ROUND((G37*Arkusz1!C2)+(H37*I37),2)</f>
        <v>0</v>
      </c>
      <c r="M37" s="54"/>
      <c r="N37" s="54"/>
      <c r="O37" s="54"/>
      <c r="P37" s="54"/>
      <c r="Q37" s="54"/>
      <c r="U37" s="55"/>
    </row>
    <row r="38" spans="2:21" ht="18" customHeight="1" x14ac:dyDescent="0.2">
      <c r="B38" s="106"/>
      <c r="C38" s="268" t="s">
        <v>195</v>
      </c>
      <c r="D38" s="268"/>
      <c r="E38" s="268"/>
      <c r="F38" s="268"/>
      <c r="G38" s="204"/>
      <c r="H38" s="204"/>
      <c r="I38" s="171">
        <v>91</v>
      </c>
      <c r="J38" s="4"/>
      <c r="K38" s="5">
        <f t="shared" ref="K38:K43" si="0">H38*I38</f>
        <v>0</v>
      </c>
      <c r="L38" s="35">
        <f>ROUND((G38*Arkusz1!C3)+(H38*I38),2)</f>
        <v>0</v>
      </c>
      <c r="M38" s="54"/>
      <c r="N38" s="54"/>
      <c r="O38" s="54"/>
      <c r="P38" s="54"/>
      <c r="Q38" s="54"/>
      <c r="R38" s="54"/>
    </row>
    <row r="39" spans="2:21" ht="18" customHeight="1" x14ac:dyDescent="0.2">
      <c r="B39" s="106"/>
      <c r="C39" s="268" t="s">
        <v>51</v>
      </c>
      <c r="D39" s="268"/>
      <c r="E39" s="268"/>
      <c r="F39" s="268"/>
      <c r="G39" s="204"/>
      <c r="H39" s="204"/>
      <c r="I39" s="171">
        <v>83</v>
      </c>
      <c r="J39" s="32"/>
      <c r="K39" s="5">
        <f t="shared" si="0"/>
        <v>0</v>
      </c>
      <c r="L39" s="35">
        <f>ROUND((G39*Arkusz1!C4)+(H39*I39),2)</f>
        <v>0</v>
      </c>
      <c r="M39" s="54"/>
      <c r="N39" s="54"/>
      <c r="O39" s="54"/>
      <c r="P39" s="54"/>
      <c r="Q39" s="54"/>
      <c r="R39" s="54"/>
      <c r="U39" s="56"/>
    </row>
    <row r="40" spans="2:21" ht="18" customHeight="1" x14ac:dyDescent="0.2">
      <c r="B40" s="106"/>
      <c r="C40" s="268" t="s">
        <v>54</v>
      </c>
      <c r="D40" s="268"/>
      <c r="E40" s="268"/>
      <c r="F40" s="268"/>
      <c r="G40" s="204"/>
      <c r="H40" s="204"/>
      <c r="I40" s="171">
        <v>76</v>
      </c>
      <c r="J40" s="32"/>
      <c r="K40" s="5">
        <f>H40*I40</f>
        <v>0</v>
      </c>
      <c r="L40" s="35">
        <f>ROUND((G40*Arkusz1!C5)+(H40*I40),2)</f>
        <v>0</v>
      </c>
      <c r="M40" s="54"/>
      <c r="N40" s="54"/>
      <c r="O40" s="54"/>
      <c r="P40" s="54"/>
      <c r="Q40" s="54"/>
      <c r="R40" s="54"/>
      <c r="U40" s="55"/>
    </row>
    <row r="41" spans="2:21" ht="18" customHeight="1" x14ac:dyDescent="0.2">
      <c r="B41" s="106"/>
      <c r="C41" s="264" t="s">
        <v>206</v>
      </c>
      <c r="D41" s="264"/>
      <c r="E41" s="264"/>
      <c r="F41" s="264"/>
      <c r="G41" s="204"/>
      <c r="H41" s="204"/>
      <c r="I41" s="141">
        <v>50</v>
      </c>
      <c r="J41" s="32"/>
      <c r="K41" s="5">
        <f>H41*I41</f>
        <v>0</v>
      </c>
      <c r="L41" s="35">
        <f>ROUND((G41*Arkusz1!C6)+(H41*I41),2)</f>
        <v>0</v>
      </c>
      <c r="M41" s="54"/>
      <c r="N41" s="54"/>
      <c r="O41" s="54"/>
      <c r="P41" s="54"/>
      <c r="Q41" s="54"/>
      <c r="R41" s="54"/>
    </row>
    <row r="42" spans="2:21" ht="18" hidden="1" customHeight="1" x14ac:dyDescent="0.2">
      <c r="B42" s="106"/>
      <c r="C42" s="264"/>
      <c r="D42" s="264"/>
      <c r="E42" s="264"/>
      <c r="F42" s="264"/>
      <c r="G42" s="170"/>
      <c r="H42" s="31"/>
      <c r="I42" s="141">
        <v>45</v>
      </c>
      <c r="J42" s="32"/>
      <c r="K42" s="5">
        <f t="shared" si="0"/>
        <v>0</v>
      </c>
      <c r="L42" s="35">
        <f>ROUND((G42*Arkusz1!C7)+(H42*I42),2)</f>
        <v>0</v>
      </c>
      <c r="M42" s="54"/>
      <c r="N42" s="54"/>
      <c r="O42" s="54"/>
      <c r="P42" s="54"/>
      <c r="Q42" s="54"/>
      <c r="R42" s="54"/>
    </row>
    <row r="43" spans="2:21" ht="18" hidden="1" customHeight="1" x14ac:dyDescent="0.2">
      <c r="B43" s="106"/>
      <c r="C43" s="264"/>
      <c r="D43" s="264"/>
      <c r="E43" s="264"/>
      <c r="F43" s="264"/>
      <c r="G43" s="170"/>
      <c r="H43" s="31"/>
      <c r="I43" s="141">
        <v>45</v>
      </c>
      <c r="J43" s="80"/>
      <c r="K43" s="5">
        <f t="shared" si="0"/>
        <v>0</v>
      </c>
      <c r="L43" s="35">
        <f>ROUND((G43*Arkusz1!C8)+(H43*I43),2)</f>
        <v>0</v>
      </c>
      <c r="M43" s="54"/>
      <c r="N43" s="54"/>
      <c r="O43" s="54"/>
      <c r="P43" s="54"/>
      <c r="Q43" s="54"/>
      <c r="R43" s="54"/>
    </row>
    <row r="44" spans="2:21" ht="14.25" x14ac:dyDescent="0.2">
      <c r="B44" s="106"/>
      <c r="C44" s="80"/>
      <c r="D44" s="80"/>
      <c r="E44" s="80"/>
      <c r="F44" s="80"/>
      <c r="G44" s="80"/>
      <c r="H44" s="80"/>
      <c r="I44" s="80"/>
      <c r="J44" s="109" t="s">
        <v>40</v>
      </c>
      <c r="K44" s="110">
        <f>SUM(K37:K43)</f>
        <v>0</v>
      </c>
      <c r="L44" s="111">
        <f>SUM(L37:L43)</f>
        <v>0</v>
      </c>
      <c r="M44" s="54"/>
      <c r="N44" s="54"/>
      <c r="O44" s="51"/>
      <c r="P44" s="54"/>
      <c r="Q44" s="54"/>
      <c r="R44" s="54"/>
    </row>
    <row r="45" spans="2:21" ht="18" customHeight="1" x14ac:dyDescent="0.2">
      <c r="B45" s="106"/>
      <c r="C45" s="244" t="s">
        <v>64</v>
      </c>
      <c r="D45" s="245"/>
      <c r="E45" s="211" t="str">
        <f>IF(F12="","0",19.64%+0.36%)</f>
        <v>0</v>
      </c>
      <c r="F45" s="273" t="s">
        <v>63</v>
      </c>
      <c r="G45" s="246"/>
      <c r="H45" s="246"/>
      <c r="I45" s="246"/>
      <c r="J45" s="246"/>
      <c r="K45" s="110"/>
      <c r="L45" s="111">
        <f>ROUND(L44*E45,0)</f>
        <v>0</v>
      </c>
      <c r="M45" s="54"/>
      <c r="N45" s="54"/>
      <c r="O45" s="54"/>
      <c r="P45" s="54"/>
      <c r="Q45" s="54"/>
      <c r="R45" s="54"/>
    </row>
    <row r="46" spans="2:21" ht="15" x14ac:dyDescent="0.2">
      <c r="B46" s="106"/>
      <c r="C46" s="112"/>
      <c r="D46" s="112"/>
      <c r="E46" s="112"/>
      <c r="F46" s="112"/>
      <c r="G46" s="112"/>
      <c r="H46" s="112"/>
      <c r="I46" s="112"/>
      <c r="J46" s="113"/>
      <c r="K46" s="113"/>
      <c r="L46" s="114"/>
      <c r="M46" s="54"/>
      <c r="N46" s="54"/>
      <c r="O46" s="51"/>
      <c r="P46" s="54"/>
      <c r="Q46" s="54"/>
      <c r="R46" s="54"/>
    </row>
    <row r="47" spans="2:21" ht="14.25" x14ac:dyDescent="0.2">
      <c r="B47" s="106"/>
      <c r="C47" s="115" t="s">
        <v>121</v>
      </c>
      <c r="D47" s="116" t="s">
        <v>200</v>
      </c>
      <c r="E47" s="116"/>
      <c r="F47" s="116"/>
      <c r="G47" s="116"/>
      <c r="H47" s="116"/>
      <c r="I47" s="116"/>
      <c r="J47" s="116"/>
      <c r="K47" s="116"/>
      <c r="L47" s="117"/>
      <c r="M47" s="54"/>
      <c r="N47" s="54"/>
      <c r="O47" s="54"/>
      <c r="P47" s="54"/>
      <c r="Q47" s="54"/>
      <c r="R47" s="54"/>
    </row>
    <row r="48" spans="2:21" ht="14.25" x14ac:dyDescent="0.2">
      <c r="B48" s="106"/>
      <c r="C48" s="108"/>
      <c r="D48" s="80"/>
      <c r="E48" s="80"/>
      <c r="F48" s="80"/>
      <c r="G48" s="80"/>
      <c r="H48" s="80"/>
      <c r="I48" s="68"/>
      <c r="J48" s="80"/>
      <c r="K48" s="80"/>
      <c r="L48" s="35"/>
      <c r="M48" s="54"/>
      <c r="N48" s="54"/>
      <c r="O48" s="54"/>
      <c r="P48" s="54"/>
      <c r="Q48" s="54"/>
      <c r="R48" s="54"/>
    </row>
    <row r="49" spans="2:39" ht="18" customHeight="1" x14ac:dyDescent="0.2">
      <c r="B49" s="83"/>
      <c r="C49" s="80"/>
      <c r="D49" s="80"/>
      <c r="E49" s="80"/>
      <c r="F49" s="274" t="s">
        <v>38</v>
      </c>
      <c r="G49" s="274"/>
      <c r="H49" s="274" t="s">
        <v>39</v>
      </c>
      <c r="I49" s="274"/>
      <c r="J49" s="80"/>
      <c r="K49" s="80"/>
      <c r="L49" s="35"/>
      <c r="M49" s="54"/>
      <c r="N49" s="54"/>
      <c r="O49" s="54"/>
      <c r="P49" s="54"/>
      <c r="Q49" s="54"/>
      <c r="R49" s="54"/>
    </row>
    <row r="50" spans="2:39" ht="18" customHeight="1" x14ac:dyDescent="0.2">
      <c r="B50" s="83"/>
      <c r="C50" s="270" t="s">
        <v>56</v>
      </c>
      <c r="D50" s="271"/>
      <c r="E50" s="272"/>
      <c r="F50" s="118" t="s">
        <v>41</v>
      </c>
      <c r="G50" s="119" t="s">
        <v>42</v>
      </c>
      <c r="H50" s="118" t="s">
        <v>41</v>
      </c>
      <c r="I50" s="118" t="s">
        <v>42</v>
      </c>
      <c r="J50" s="80"/>
      <c r="K50" s="80"/>
      <c r="L50" s="35"/>
      <c r="M50" s="54"/>
      <c r="N50" s="54"/>
      <c r="O50" s="51"/>
      <c r="P50" s="54"/>
      <c r="Q50" s="54"/>
      <c r="R50" s="54"/>
    </row>
    <row r="51" spans="2:39" ht="18" customHeight="1" x14ac:dyDescent="0.2">
      <c r="B51" s="83"/>
      <c r="C51" s="241" t="s">
        <v>65</v>
      </c>
      <c r="D51" s="242"/>
      <c r="E51" s="243"/>
      <c r="F51" s="36"/>
      <c r="G51" s="204"/>
      <c r="H51" s="140"/>
      <c r="I51" s="141">
        <v>110</v>
      </c>
      <c r="J51" s="80"/>
      <c r="K51" s="80"/>
      <c r="L51" s="35">
        <f>F51*H51+G51*I51</f>
        <v>0</v>
      </c>
      <c r="M51" s="54"/>
      <c r="N51" s="54"/>
      <c r="O51" s="54"/>
      <c r="P51" s="54"/>
      <c r="Q51" s="54"/>
      <c r="R51" s="54"/>
    </row>
    <row r="52" spans="2:39" ht="18" customHeight="1" x14ac:dyDescent="0.2">
      <c r="B52" s="83"/>
      <c r="C52" s="241" t="s">
        <v>45</v>
      </c>
      <c r="D52" s="242"/>
      <c r="E52" s="243"/>
      <c r="F52" s="36"/>
      <c r="G52" s="204"/>
      <c r="H52" s="140"/>
      <c r="I52" s="141">
        <v>100</v>
      </c>
      <c r="J52" s="80"/>
      <c r="K52" s="80"/>
      <c r="L52" s="35">
        <f>F52*H52+G52*I52</f>
        <v>0</v>
      </c>
      <c r="M52" s="54"/>
      <c r="N52" s="54"/>
      <c r="O52" s="54"/>
      <c r="P52" s="54"/>
      <c r="Q52" s="54"/>
      <c r="R52" s="54"/>
    </row>
    <row r="53" spans="2:39" ht="18" customHeight="1" x14ac:dyDescent="0.2">
      <c r="B53" s="83"/>
      <c r="C53" s="241" t="s">
        <v>46</v>
      </c>
      <c r="D53" s="242"/>
      <c r="E53" s="243"/>
      <c r="F53" s="204"/>
      <c r="G53" s="204"/>
      <c r="H53" s="141">
        <v>80</v>
      </c>
      <c r="I53" s="141">
        <v>80</v>
      </c>
      <c r="J53" s="80"/>
      <c r="K53" s="80"/>
      <c r="L53" s="35">
        <f>F53*H53+G53*I53</f>
        <v>0</v>
      </c>
      <c r="M53" s="54"/>
      <c r="N53" s="54"/>
      <c r="O53" s="54"/>
      <c r="P53" s="54"/>
      <c r="Q53" s="54"/>
      <c r="R53" s="54"/>
    </row>
    <row r="54" spans="2:39" ht="18" customHeight="1" x14ac:dyDescent="0.2">
      <c r="B54" s="83"/>
      <c r="C54" s="241" t="s">
        <v>47</v>
      </c>
      <c r="D54" s="242"/>
      <c r="E54" s="243"/>
      <c r="F54" s="204"/>
      <c r="G54" s="204"/>
      <c r="H54" s="141">
        <v>60</v>
      </c>
      <c r="I54" s="141">
        <v>60</v>
      </c>
      <c r="J54" s="80"/>
      <c r="K54" s="80"/>
      <c r="L54" s="35">
        <f>F54*H54+G54*I54</f>
        <v>0</v>
      </c>
      <c r="M54" s="54"/>
      <c r="N54" s="54"/>
      <c r="O54" s="54"/>
      <c r="P54" s="54"/>
      <c r="Q54" s="54"/>
      <c r="R54" s="54"/>
    </row>
    <row r="55" spans="2:39" ht="20.100000000000001" customHeight="1" x14ac:dyDescent="0.2">
      <c r="B55" s="83"/>
      <c r="C55" s="80"/>
      <c r="D55" s="80"/>
      <c r="E55" s="80"/>
      <c r="F55" s="80"/>
      <c r="G55" s="80"/>
      <c r="H55" s="80"/>
      <c r="I55" s="80"/>
      <c r="J55" s="109" t="s">
        <v>40</v>
      </c>
      <c r="K55" s="109"/>
      <c r="L55" s="111">
        <f>SUM(L51:L54)</f>
        <v>0</v>
      </c>
      <c r="O55" s="54"/>
    </row>
    <row r="56" spans="2:39" ht="18" customHeight="1" x14ac:dyDescent="0.2">
      <c r="B56" s="83"/>
      <c r="C56" s="244" t="s">
        <v>66</v>
      </c>
      <c r="D56" s="245"/>
      <c r="E56" s="33" t="str">
        <f>E45</f>
        <v>0</v>
      </c>
      <c r="F56" s="246" t="s">
        <v>43</v>
      </c>
      <c r="G56" s="246"/>
      <c r="H56" s="246"/>
      <c r="I56" s="246"/>
      <c r="J56" s="246"/>
      <c r="K56" s="167"/>
      <c r="L56" s="34">
        <f>ROUND((F51*H51+F52*H52+F53*H53+F54*H54)*E56,0)</f>
        <v>0</v>
      </c>
    </row>
    <row r="57" spans="2:39" ht="14.25" x14ac:dyDescent="0.2">
      <c r="B57" s="106"/>
      <c r="C57" s="120"/>
      <c r="D57" s="120"/>
      <c r="E57" s="120"/>
      <c r="F57" s="120"/>
      <c r="G57" s="120"/>
      <c r="H57" s="120"/>
      <c r="I57" s="120"/>
      <c r="J57" s="121"/>
      <c r="K57" s="121"/>
      <c r="L57" s="122"/>
    </row>
    <row r="58" spans="2:39" ht="14.25" x14ac:dyDescent="0.2">
      <c r="B58" s="38"/>
      <c r="C58" s="123" t="s">
        <v>122</v>
      </c>
      <c r="D58" s="131" t="s">
        <v>198</v>
      </c>
      <c r="E58" s="131"/>
      <c r="F58" s="124"/>
      <c r="G58" s="124"/>
      <c r="H58" s="124"/>
      <c r="I58" s="124"/>
      <c r="J58" s="124"/>
      <c r="K58" s="124"/>
      <c r="L58" s="125"/>
    </row>
    <row r="59" spans="2:39" ht="18" customHeight="1" x14ac:dyDescent="0.2">
      <c r="B59" s="38"/>
      <c r="C59" s="155" t="s">
        <v>44</v>
      </c>
      <c r="D59" s="249"/>
      <c r="E59" s="249"/>
      <c r="F59" s="97" t="s">
        <v>143</v>
      </c>
      <c r="G59" s="80"/>
      <c r="H59" s="80"/>
      <c r="I59" s="80"/>
      <c r="J59" s="80"/>
      <c r="K59" s="80"/>
      <c r="L59" s="156">
        <f>D59*F13</f>
        <v>0</v>
      </c>
    </row>
    <row r="60" spans="2:39" ht="25.5" hidden="1" customHeight="1" x14ac:dyDescent="0.2">
      <c r="B60" s="38"/>
      <c r="C60" s="155" t="s">
        <v>124</v>
      </c>
      <c r="D60" s="157"/>
      <c r="E60" s="153" t="s">
        <v>125</v>
      </c>
      <c r="F60" s="158"/>
      <c r="G60" s="97" t="s">
        <v>126</v>
      </c>
      <c r="H60" s="97"/>
      <c r="I60" s="97"/>
      <c r="J60" s="97"/>
      <c r="K60" s="97"/>
      <c r="L60" s="156">
        <f>D60*F60</f>
        <v>0</v>
      </c>
    </row>
    <row r="61" spans="2:39" ht="18" customHeight="1" x14ac:dyDescent="0.2">
      <c r="B61" s="38"/>
      <c r="C61" s="155" t="s">
        <v>124</v>
      </c>
      <c r="D61" s="248" t="s">
        <v>127</v>
      </c>
      <c r="E61" s="248"/>
      <c r="F61" s="159" t="str">
        <f>E45</f>
        <v>0</v>
      </c>
      <c r="G61" s="97" t="s">
        <v>128</v>
      </c>
      <c r="H61" s="97"/>
      <c r="I61" s="97"/>
      <c r="J61" s="97"/>
      <c r="K61" s="97"/>
      <c r="L61" s="156">
        <f>ROUND((L59+L60)*F61,0)</f>
        <v>0</v>
      </c>
      <c r="M61" s="57"/>
    </row>
    <row r="62" spans="2:39" ht="14.25" x14ac:dyDescent="0.2">
      <c r="B62" s="138"/>
      <c r="C62" s="126"/>
      <c r="D62" s="126"/>
      <c r="E62" s="126"/>
      <c r="F62" s="126"/>
      <c r="G62" s="126"/>
      <c r="H62" s="126"/>
      <c r="I62" s="126"/>
      <c r="J62" s="179"/>
      <c r="K62" s="179"/>
      <c r="L62" s="180"/>
    </row>
    <row r="63" spans="2:39" ht="18" customHeight="1" x14ac:dyDescent="0.2">
      <c r="B63" s="181"/>
      <c r="C63" s="252" t="s">
        <v>144</v>
      </c>
      <c r="D63" s="131" t="s">
        <v>129</v>
      </c>
      <c r="E63" s="131"/>
      <c r="F63" s="131"/>
      <c r="G63" s="131"/>
      <c r="H63" s="182"/>
      <c r="I63" s="183"/>
      <c r="J63" s="183"/>
      <c r="K63" s="169"/>
      <c r="L63" s="39">
        <f>ROUND(((K44)/251*36),0)</f>
        <v>0</v>
      </c>
      <c r="Y63" s="58">
        <v>82</v>
      </c>
      <c r="Z63" s="59">
        <v>104</v>
      </c>
      <c r="AA63" s="60" t="s">
        <v>130</v>
      </c>
      <c r="AG63" s="48"/>
      <c r="AH63" s="61"/>
      <c r="AI63" s="43" t="s">
        <v>33</v>
      </c>
      <c r="AJ63" s="48"/>
      <c r="AK63" s="48"/>
      <c r="AL63" s="48"/>
      <c r="AM63" s="48"/>
    </row>
    <row r="64" spans="2:39" ht="18" customHeight="1" x14ac:dyDescent="0.2">
      <c r="B64" s="128"/>
      <c r="C64" s="235"/>
      <c r="D64" s="120"/>
      <c r="E64" s="120"/>
      <c r="F64" s="120"/>
      <c r="G64" s="120"/>
      <c r="H64" s="120"/>
      <c r="I64" s="129" t="s">
        <v>66</v>
      </c>
      <c r="J64" s="33" t="str">
        <f>E45</f>
        <v>0</v>
      </c>
      <c r="K64" s="130"/>
      <c r="L64" s="40">
        <f>ROUND(L63*J64,0)</f>
        <v>0</v>
      </c>
      <c r="Y64" s="60"/>
      <c r="Z64" s="60"/>
      <c r="AA64" s="60" t="s">
        <v>131</v>
      </c>
      <c r="AG64" s="48"/>
      <c r="AH64" s="61"/>
      <c r="AI64" s="43" t="s">
        <v>34</v>
      </c>
      <c r="AJ64" s="48"/>
      <c r="AK64" s="48"/>
      <c r="AL64" s="48"/>
      <c r="AM64" s="48"/>
    </row>
    <row r="65" spans="2:39" ht="16.5" customHeight="1" x14ac:dyDescent="0.2">
      <c r="B65" s="128"/>
      <c r="C65" s="252" t="s">
        <v>145</v>
      </c>
      <c r="D65" s="131" t="s">
        <v>132</v>
      </c>
      <c r="E65" s="131"/>
      <c r="F65" s="131"/>
      <c r="G65" s="131"/>
      <c r="H65" s="131"/>
      <c r="I65" s="131"/>
      <c r="J65" s="124"/>
      <c r="K65" s="169"/>
      <c r="L65" s="39">
        <f>ROUND((L44*8.5%),0)</f>
        <v>0</v>
      </c>
      <c r="Y65" s="58">
        <v>78</v>
      </c>
      <c r="Z65" s="59">
        <v>98</v>
      </c>
      <c r="AA65" s="60" t="s">
        <v>133</v>
      </c>
      <c r="AG65" s="48"/>
      <c r="AH65" s="48"/>
      <c r="AI65" s="48" t="s">
        <v>6</v>
      </c>
      <c r="AJ65" s="48"/>
      <c r="AK65" s="48"/>
      <c r="AL65" s="48"/>
      <c r="AM65" s="48"/>
    </row>
    <row r="66" spans="2:39" ht="16.5" customHeight="1" x14ac:dyDescent="0.2">
      <c r="B66" s="128"/>
      <c r="C66" s="235"/>
      <c r="D66" s="120"/>
      <c r="E66" s="120"/>
      <c r="F66" s="120"/>
      <c r="G66" s="120"/>
      <c r="H66" s="120"/>
      <c r="I66" s="129" t="s">
        <v>66</v>
      </c>
      <c r="J66" s="33" t="str">
        <f>E45</f>
        <v>0</v>
      </c>
      <c r="K66" s="130"/>
      <c r="L66" s="40">
        <f>ROUND(L65*J66,0)</f>
        <v>0</v>
      </c>
      <c r="Y66" s="58">
        <v>78</v>
      </c>
      <c r="Z66" s="59">
        <v>98</v>
      </c>
      <c r="AA66" s="60" t="s">
        <v>134</v>
      </c>
      <c r="AG66" s="48"/>
      <c r="AH66" s="48"/>
      <c r="AI66" s="48"/>
      <c r="AJ66" s="48"/>
      <c r="AK66" s="48"/>
      <c r="AL66" s="48"/>
      <c r="AM66" s="48"/>
    </row>
    <row r="67" spans="2:39" ht="16.5" customHeight="1" x14ac:dyDescent="0.2">
      <c r="B67" s="128"/>
      <c r="C67" s="252" t="s">
        <v>146</v>
      </c>
      <c r="D67" s="131" t="s">
        <v>135</v>
      </c>
      <c r="E67" s="131"/>
      <c r="F67" s="131"/>
      <c r="G67" s="131"/>
      <c r="H67" s="131"/>
      <c r="I67" s="131"/>
      <c r="J67" s="124"/>
      <c r="K67" s="169"/>
      <c r="L67" s="39">
        <f>ROUND(((L44)*2%),0)</f>
        <v>0</v>
      </c>
      <c r="Y67" s="58">
        <v>54</v>
      </c>
      <c r="Z67" s="59">
        <v>77</v>
      </c>
      <c r="AA67" s="60" t="s">
        <v>136</v>
      </c>
    </row>
    <row r="68" spans="2:39" ht="16.5" customHeight="1" x14ac:dyDescent="0.2">
      <c r="B68" s="128"/>
      <c r="C68" s="235"/>
      <c r="D68" s="120"/>
      <c r="E68" s="120"/>
      <c r="F68" s="120"/>
      <c r="G68" s="120"/>
      <c r="H68" s="120"/>
      <c r="I68" s="129" t="s">
        <v>66</v>
      </c>
      <c r="J68" s="33" t="str">
        <f>E45</f>
        <v>0</v>
      </c>
      <c r="K68" s="130"/>
      <c r="L68" s="40">
        <f>ROUND(L67*J68,0)</f>
        <v>0</v>
      </c>
      <c r="Y68" s="58">
        <v>54</v>
      </c>
      <c r="Z68" s="59">
        <v>64</v>
      </c>
      <c r="AA68" s="60" t="s">
        <v>137</v>
      </c>
    </row>
    <row r="69" spans="2:39" ht="9.75" customHeight="1" x14ac:dyDescent="0.2">
      <c r="B69" s="128"/>
      <c r="C69" s="252" t="s">
        <v>147</v>
      </c>
      <c r="D69" s="240" t="s">
        <v>35</v>
      </c>
      <c r="E69" s="240"/>
      <c r="F69" s="240"/>
      <c r="G69" s="240"/>
      <c r="H69" s="240"/>
      <c r="I69" s="240"/>
      <c r="J69" s="124"/>
      <c r="K69" s="169"/>
      <c r="L69" s="253">
        <f>ROUND((L44+L63+L67)*(100%-13.71%)*6.5%,0)</f>
        <v>0</v>
      </c>
      <c r="Y69" s="62">
        <v>54</v>
      </c>
      <c r="Z69" s="63">
        <v>64</v>
      </c>
      <c r="AA69" s="60" t="s">
        <v>138</v>
      </c>
    </row>
    <row r="70" spans="2:39" ht="9" customHeight="1" x14ac:dyDescent="0.2">
      <c r="B70" s="128"/>
      <c r="C70" s="235"/>
      <c r="D70" s="237"/>
      <c r="E70" s="237"/>
      <c r="F70" s="237"/>
      <c r="G70" s="237"/>
      <c r="H70" s="237"/>
      <c r="I70" s="237"/>
      <c r="J70" s="126"/>
      <c r="K70" s="130"/>
      <c r="L70" s="254">
        <f>G70*100/115.8882</f>
        <v>0</v>
      </c>
    </row>
    <row r="71" spans="2:39" ht="16.5" hidden="1" customHeight="1" x14ac:dyDescent="0.2">
      <c r="B71" s="132"/>
      <c r="C71" s="176" t="s">
        <v>148</v>
      </c>
      <c r="D71" s="236" t="s">
        <v>139</v>
      </c>
      <c r="E71" s="236"/>
      <c r="F71" s="120" t="s">
        <v>140</v>
      </c>
      <c r="G71" s="120"/>
      <c r="H71" s="120"/>
      <c r="I71" s="120"/>
      <c r="J71" s="178"/>
      <c r="K71" s="133"/>
      <c r="L71" s="40">
        <f>ROUND((L44+L45+L55+L56+L59+L61+L63+L64+L65+L66+L67+L68+L69+SUM(L75:L93))*J71,0)</f>
        <v>0</v>
      </c>
    </row>
    <row r="72" spans="2:39" ht="3.75" customHeight="1" x14ac:dyDescent="0.2">
      <c r="B72" s="83"/>
      <c r="C72" s="174"/>
      <c r="D72" s="177"/>
      <c r="E72" s="177"/>
      <c r="F72" s="131"/>
      <c r="G72" s="131"/>
      <c r="H72" s="131"/>
      <c r="I72" s="131"/>
      <c r="J72" s="184"/>
      <c r="K72" s="185"/>
      <c r="L72" s="39"/>
    </row>
    <row r="73" spans="2:39" ht="13.5" customHeight="1" x14ac:dyDescent="0.2">
      <c r="B73" s="38"/>
      <c r="C73" s="176" t="s">
        <v>148</v>
      </c>
      <c r="D73" s="97" t="s">
        <v>162</v>
      </c>
      <c r="E73" s="97"/>
      <c r="F73" s="97"/>
      <c r="G73" s="97"/>
      <c r="H73" s="97"/>
      <c r="I73" s="97"/>
      <c r="J73" s="97"/>
      <c r="K73" s="166"/>
      <c r="L73" s="156">
        <f>SUM(L75:L93)</f>
        <v>0</v>
      </c>
    </row>
    <row r="74" spans="2:39" ht="6" customHeight="1" x14ac:dyDescent="0.2">
      <c r="B74" s="38"/>
      <c r="C74" s="176"/>
      <c r="D74" s="97"/>
      <c r="E74" s="97"/>
      <c r="F74" s="97"/>
      <c r="G74" s="97"/>
      <c r="H74" s="97"/>
      <c r="I74" s="97"/>
      <c r="J74" s="97"/>
      <c r="K74" s="166"/>
      <c r="L74" s="156"/>
    </row>
    <row r="75" spans="2:39" ht="13.5" customHeight="1" x14ac:dyDescent="0.2">
      <c r="B75" s="134"/>
      <c r="C75" s="238" t="s">
        <v>169</v>
      </c>
      <c r="D75" s="238"/>
      <c r="E75" s="238"/>
      <c r="F75" s="238"/>
      <c r="G75" s="238"/>
      <c r="H75" s="238"/>
      <c r="I75" s="238"/>
      <c r="J75" s="238"/>
      <c r="K75" s="147"/>
      <c r="L75" s="148"/>
    </row>
    <row r="76" spans="2:39" ht="14.25" x14ac:dyDescent="0.2">
      <c r="B76" s="134"/>
      <c r="C76" s="238"/>
      <c r="D76" s="238"/>
      <c r="E76" s="238"/>
      <c r="F76" s="238"/>
      <c r="G76" s="238"/>
      <c r="H76" s="238"/>
      <c r="I76" s="238"/>
      <c r="J76" s="238"/>
      <c r="K76" s="147"/>
      <c r="L76" s="148"/>
    </row>
    <row r="77" spans="2:39" ht="14.25" x14ac:dyDescent="0.2">
      <c r="B77" s="134"/>
      <c r="C77" s="238"/>
      <c r="D77" s="238"/>
      <c r="E77" s="238"/>
      <c r="F77" s="238"/>
      <c r="G77" s="238"/>
      <c r="H77" s="238"/>
      <c r="I77" s="238"/>
      <c r="J77" s="238"/>
      <c r="K77" s="147"/>
      <c r="L77" s="148"/>
    </row>
    <row r="78" spans="2:39" ht="14.25" x14ac:dyDescent="0.2">
      <c r="B78" s="134"/>
      <c r="C78" s="238"/>
      <c r="D78" s="238"/>
      <c r="E78" s="238"/>
      <c r="F78" s="238"/>
      <c r="G78" s="238"/>
      <c r="H78" s="238"/>
      <c r="I78" s="238"/>
      <c r="J78" s="238"/>
      <c r="K78" s="147"/>
      <c r="L78" s="148"/>
    </row>
    <row r="79" spans="2:39" ht="14.25" x14ac:dyDescent="0.2">
      <c r="B79" s="134"/>
      <c r="C79" s="238"/>
      <c r="D79" s="238"/>
      <c r="E79" s="238"/>
      <c r="F79" s="238"/>
      <c r="G79" s="238"/>
      <c r="H79" s="238"/>
      <c r="I79" s="238"/>
      <c r="J79" s="238"/>
      <c r="K79" s="147"/>
      <c r="L79" s="148"/>
    </row>
    <row r="80" spans="2:39" ht="14.25" x14ac:dyDescent="0.2">
      <c r="B80" s="134"/>
      <c r="C80" s="238"/>
      <c r="D80" s="238"/>
      <c r="E80" s="238"/>
      <c r="F80" s="238"/>
      <c r="G80" s="238"/>
      <c r="H80" s="238"/>
      <c r="I80" s="238"/>
      <c r="J80" s="238"/>
      <c r="K80" s="147"/>
      <c r="L80" s="148"/>
    </row>
    <row r="81" spans="2:13" ht="14.25" x14ac:dyDescent="0.2">
      <c r="B81" s="134"/>
      <c r="C81" s="238"/>
      <c r="D81" s="238"/>
      <c r="E81" s="238"/>
      <c r="F81" s="238"/>
      <c r="G81" s="238"/>
      <c r="H81" s="238"/>
      <c r="I81" s="238"/>
      <c r="J81" s="238"/>
      <c r="K81" s="147"/>
      <c r="L81" s="148"/>
    </row>
    <row r="82" spans="2:13" ht="14.25" x14ac:dyDescent="0.2">
      <c r="B82" s="134"/>
      <c r="C82" s="175"/>
      <c r="D82" s="175"/>
      <c r="E82" s="175"/>
      <c r="F82" s="175"/>
      <c r="G82" s="175"/>
      <c r="H82" s="175"/>
      <c r="I82" s="175"/>
      <c r="J82" s="175"/>
      <c r="K82" s="147"/>
      <c r="L82" s="148"/>
    </row>
    <row r="83" spans="2:13" ht="14.25" x14ac:dyDescent="0.2">
      <c r="B83" s="134"/>
      <c r="C83" s="175"/>
      <c r="D83" s="175"/>
      <c r="E83" s="175"/>
      <c r="F83" s="175"/>
      <c r="G83" s="175"/>
      <c r="H83" s="175"/>
      <c r="I83" s="175"/>
      <c r="J83" s="175"/>
      <c r="K83" s="147"/>
      <c r="L83" s="148"/>
    </row>
    <row r="84" spans="2:13" ht="14.25" x14ac:dyDescent="0.2">
      <c r="B84" s="134"/>
      <c r="C84" s="175"/>
      <c r="D84" s="175"/>
      <c r="E84" s="175"/>
      <c r="F84" s="175"/>
      <c r="G84" s="175"/>
      <c r="H84" s="175"/>
      <c r="I84" s="175"/>
      <c r="J84" s="175"/>
      <c r="K84" s="147"/>
      <c r="L84" s="148"/>
    </row>
    <row r="85" spans="2:13" ht="14.25" x14ac:dyDescent="0.2">
      <c r="B85" s="134"/>
      <c r="C85" s="175"/>
      <c r="D85" s="175"/>
      <c r="E85" s="175"/>
      <c r="F85" s="175"/>
      <c r="G85" s="175"/>
      <c r="H85" s="175"/>
      <c r="I85" s="175"/>
      <c r="J85" s="175"/>
      <c r="K85" s="147"/>
      <c r="L85" s="148"/>
    </row>
    <row r="86" spans="2:13" ht="14.25" x14ac:dyDescent="0.2">
      <c r="B86" s="134"/>
      <c r="C86" s="238"/>
      <c r="D86" s="238"/>
      <c r="E86" s="238"/>
      <c r="F86" s="238"/>
      <c r="G86" s="238"/>
      <c r="H86" s="238"/>
      <c r="I86" s="238"/>
      <c r="J86" s="238"/>
      <c r="K86" s="147"/>
      <c r="L86" s="148"/>
    </row>
    <row r="87" spans="2:13" ht="14.25" x14ac:dyDescent="0.2">
      <c r="B87" s="134"/>
      <c r="C87" s="238"/>
      <c r="D87" s="238"/>
      <c r="E87" s="238"/>
      <c r="F87" s="238"/>
      <c r="G87" s="238"/>
      <c r="H87" s="238"/>
      <c r="I87" s="238"/>
      <c r="J87" s="238"/>
      <c r="K87" s="147"/>
      <c r="L87" s="148"/>
    </row>
    <row r="88" spans="2:13" ht="14.25" x14ac:dyDescent="0.2">
      <c r="B88" s="134"/>
      <c r="C88" s="238"/>
      <c r="D88" s="238"/>
      <c r="E88" s="238"/>
      <c r="F88" s="238"/>
      <c r="G88" s="238"/>
      <c r="H88" s="238"/>
      <c r="I88" s="238"/>
      <c r="J88" s="238"/>
      <c r="K88" s="147"/>
      <c r="L88" s="148"/>
    </row>
    <row r="89" spans="2:13" ht="14.25" x14ac:dyDescent="0.2">
      <c r="B89" s="134"/>
      <c r="C89" s="238"/>
      <c r="D89" s="238"/>
      <c r="E89" s="238"/>
      <c r="F89" s="238"/>
      <c r="G89" s="238"/>
      <c r="H89" s="238"/>
      <c r="I89" s="238"/>
      <c r="J89" s="238"/>
      <c r="K89" s="147"/>
      <c r="L89" s="148"/>
    </row>
    <row r="90" spans="2:13" ht="14.25" x14ac:dyDescent="0.2">
      <c r="B90" s="134"/>
      <c r="C90" s="238"/>
      <c r="D90" s="238"/>
      <c r="E90" s="238"/>
      <c r="F90" s="238"/>
      <c r="G90" s="238"/>
      <c r="H90" s="238"/>
      <c r="I90" s="238"/>
      <c r="J90" s="238"/>
      <c r="K90" s="147"/>
      <c r="L90" s="148"/>
    </row>
    <row r="91" spans="2:13" ht="14.25" x14ac:dyDescent="0.2">
      <c r="B91" s="134"/>
      <c r="C91" s="238"/>
      <c r="D91" s="238"/>
      <c r="E91" s="238"/>
      <c r="F91" s="238"/>
      <c r="G91" s="238"/>
      <c r="H91" s="238"/>
      <c r="I91" s="238"/>
      <c r="J91" s="238"/>
      <c r="K91" s="147"/>
      <c r="L91" s="148"/>
    </row>
    <row r="92" spans="2:13" ht="14.25" x14ac:dyDescent="0.2">
      <c r="B92" s="134"/>
      <c r="C92" s="238"/>
      <c r="D92" s="238"/>
      <c r="E92" s="238"/>
      <c r="F92" s="238"/>
      <c r="G92" s="238"/>
      <c r="H92" s="238"/>
      <c r="I92" s="238"/>
      <c r="J92" s="238"/>
      <c r="K92" s="147"/>
      <c r="L92" s="148"/>
    </row>
    <row r="93" spans="2:13" ht="14.25" x14ac:dyDescent="0.2">
      <c r="B93" s="134"/>
      <c r="C93" s="239"/>
      <c r="D93" s="239"/>
      <c r="E93" s="239"/>
      <c r="F93" s="239"/>
      <c r="G93" s="239"/>
      <c r="H93" s="239"/>
      <c r="I93" s="239"/>
      <c r="J93" s="239"/>
      <c r="K93" s="197"/>
      <c r="L93" s="198"/>
    </row>
    <row r="94" spans="2:13" ht="18" customHeight="1" x14ac:dyDescent="0.2">
      <c r="B94" s="83"/>
      <c r="C94" s="80"/>
      <c r="D94" s="80"/>
      <c r="E94" s="80"/>
      <c r="F94" s="80"/>
      <c r="G94" s="80"/>
      <c r="H94" s="80"/>
      <c r="I94" s="80"/>
      <c r="J94" s="194"/>
      <c r="K94" s="194"/>
      <c r="L94" s="135"/>
    </row>
    <row r="95" spans="2:13" ht="15" x14ac:dyDescent="0.2">
      <c r="B95" s="134"/>
      <c r="C95" s="234" t="s">
        <v>149</v>
      </c>
      <c r="D95" s="236" t="s">
        <v>139</v>
      </c>
      <c r="E95" s="236"/>
      <c r="F95" s="120" t="s">
        <v>140</v>
      </c>
      <c r="G95" s="120"/>
      <c r="H95" s="120"/>
      <c r="I95" s="120"/>
      <c r="J95" s="178">
        <f>IFERROR(IF(F18="Bezpośrednie (kontaktowe)",VLOOKUP(F12,wydz1,2,FALSE),VLOOKUP(F12,wydz1,2,FALSE)/2),0)</f>
        <v>0</v>
      </c>
      <c r="K95" s="178"/>
      <c r="L95" s="40">
        <f>ROUND(J95*(L44+L45+L55+L56+L59+L61+L63+L64+L65+L66+L67+L68+L69+L73),0)</f>
        <v>0</v>
      </c>
      <c r="M95" s="196"/>
    </row>
    <row r="96" spans="2:13" ht="15" x14ac:dyDescent="0.2">
      <c r="B96" s="134"/>
      <c r="C96" s="235"/>
      <c r="D96" s="237"/>
      <c r="E96" s="237"/>
      <c r="F96" s="120" t="s">
        <v>165</v>
      </c>
      <c r="G96" s="120"/>
      <c r="H96" s="120"/>
      <c r="I96" s="120"/>
      <c r="J96" s="178">
        <f>IF(J95=0,0,IF(F18="On-line","20%","40%"))</f>
        <v>0</v>
      </c>
      <c r="K96" s="178"/>
      <c r="L96" s="40">
        <f>ROUND(J96*(L44+L45+L55+L56+L59+L61+L63+L64+L65+L66+L67+L68+L69+L73+L95),0)</f>
        <v>0</v>
      </c>
      <c r="M96" s="196"/>
    </row>
    <row r="97" spans="2:12" ht="18" customHeight="1" x14ac:dyDescent="0.2">
      <c r="B97" s="199"/>
      <c r="C97" s="200"/>
      <c r="D97" s="200"/>
      <c r="E97" s="200"/>
      <c r="F97" s="201"/>
      <c r="G97" s="201"/>
      <c r="H97" s="201"/>
      <c r="I97" s="201"/>
      <c r="J97" s="202"/>
      <c r="K97" s="202"/>
      <c r="L97" s="127"/>
    </row>
    <row r="98" spans="2:12" ht="18" customHeight="1" x14ac:dyDescent="0.2">
      <c r="B98" s="83"/>
      <c r="C98" s="97"/>
      <c r="D98" s="97"/>
      <c r="E98" s="97"/>
      <c r="F98" s="80"/>
      <c r="G98" s="80"/>
      <c r="H98" s="80"/>
      <c r="I98" s="80"/>
      <c r="J98" s="194"/>
      <c r="K98" s="194"/>
      <c r="L98" s="135"/>
    </row>
    <row r="99" spans="2:12" ht="15" x14ac:dyDescent="0.25">
      <c r="B99" s="101"/>
      <c r="C99" s="80"/>
      <c r="D99" s="80"/>
      <c r="E99" s="80"/>
      <c r="F99" s="80"/>
      <c r="G99" s="80"/>
      <c r="H99" s="80"/>
      <c r="I99" s="80"/>
      <c r="J99" s="77" t="s">
        <v>208</v>
      </c>
      <c r="K99" s="77"/>
      <c r="L99" s="30">
        <f>L44+L45+L55+L56+L59+L60+L61+L63+L64+L65+L66+L67+L68+L69+L71+L73+L95+L96</f>
        <v>0</v>
      </c>
    </row>
    <row r="100" spans="2:12" ht="15" thickBot="1" x14ac:dyDescent="0.25">
      <c r="B100" s="102"/>
      <c r="C100" s="206"/>
      <c r="D100" s="103"/>
      <c r="E100" s="103"/>
      <c r="F100" s="103"/>
      <c r="G100" s="103"/>
      <c r="H100" s="103"/>
      <c r="I100" s="103"/>
      <c r="J100" s="103"/>
      <c r="K100" s="103"/>
      <c r="L100" s="195"/>
    </row>
    <row r="101" spans="2:12" s="44" customFormat="1" ht="18.75" customHeight="1" thickTop="1" thickBot="1" x14ac:dyDescent="0.25">
      <c r="B101" s="88" t="s">
        <v>199</v>
      </c>
      <c r="C101" s="89"/>
      <c r="D101" s="89"/>
      <c r="E101" s="89"/>
      <c r="F101" s="89"/>
      <c r="G101" s="89"/>
      <c r="H101" s="89"/>
      <c r="I101" s="89"/>
      <c r="J101" s="89"/>
      <c r="K101" s="89"/>
      <c r="L101" s="136">
        <f>L30-L99</f>
        <v>0</v>
      </c>
    </row>
    <row r="102" spans="2:12" ht="15" thickTop="1" x14ac:dyDescent="0.2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</row>
    <row r="103" spans="2:12" ht="14.25" x14ac:dyDescent="0.2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</row>
    <row r="104" spans="2:12" ht="14.25" x14ac:dyDescent="0.2">
      <c r="B104" s="68"/>
      <c r="C104" s="137"/>
      <c r="D104" s="137"/>
      <c r="E104" s="137"/>
      <c r="F104" s="80"/>
      <c r="G104" s="80"/>
      <c r="H104" s="80"/>
      <c r="I104" s="80"/>
      <c r="J104" s="80"/>
      <c r="K104" s="80"/>
      <c r="L104" s="150"/>
    </row>
    <row r="105" spans="2:12" ht="14.25" x14ac:dyDescent="0.2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</row>
    <row r="106" spans="2:12" ht="14.25" x14ac:dyDescent="0.2">
      <c r="B106" s="126"/>
      <c r="C106" s="126"/>
      <c r="D106" s="126"/>
      <c r="E106" s="126"/>
      <c r="F106" s="80"/>
      <c r="G106" s="80"/>
      <c r="H106" s="80"/>
      <c r="I106" s="80"/>
      <c r="J106" s="126"/>
      <c r="K106" s="126"/>
      <c r="L106" s="126"/>
    </row>
    <row r="107" spans="2:12" ht="14.25" customHeight="1" x14ac:dyDescent="0.2">
      <c r="B107" s="250" t="s">
        <v>141</v>
      </c>
      <c r="C107" s="250"/>
      <c r="D107" s="250"/>
      <c r="E107" s="250"/>
      <c r="F107" s="139"/>
      <c r="G107" s="139"/>
      <c r="H107" s="139"/>
      <c r="I107" s="139"/>
      <c r="J107" s="247" t="s">
        <v>211</v>
      </c>
      <c r="K107" s="247"/>
      <c r="L107" s="247"/>
    </row>
    <row r="108" spans="2:12" ht="14.25" customHeight="1" x14ac:dyDescent="0.2">
      <c r="B108" s="251" t="s">
        <v>212</v>
      </c>
      <c r="C108" s="251"/>
      <c r="D108" s="251"/>
      <c r="E108" s="251"/>
      <c r="F108" s="80"/>
      <c r="G108" s="80"/>
      <c r="H108" s="80"/>
      <c r="I108" s="80"/>
      <c r="J108" s="233" t="s">
        <v>213</v>
      </c>
      <c r="K108" s="233"/>
      <c r="L108" s="233"/>
    </row>
    <row r="109" spans="2:12" ht="14.25" x14ac:dyDescent="0.2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</row>
    <row r="110" spans="2:12" ht="14.25" x14ac:dyDescent="0.2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</row>
    <row r="111" spans="2:12" ht="14.25" x14ac:dyDescent="0.2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</row>
    <row r="112" spans="2:12" ht="14.25" x14ac:dyDescent="0.2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</row>
    <row r="113" spans="2:12" ht="14.25" x14ac:dyDescent="0.2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</row>
    <row r="114" spans="2:12" ht="14.25" x14ac:dyDescent="0.2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</row>
    <row r="115" spans="2:12" ht="14.25" x14ac:dyDescent="0.2">
      <c r="B115" s="126"/>
      <c r="C115" s="126"/>
      <c r="D115" s="126"/>
      <c r="E115" s="126"/>
      <c r="F115" s="80"/>
      <c r="G115" s="80"/>
      <c r="H115" s="80"/>
      <c r="I115" s="80"/>
      <c r="J115" s="126"/>
      <c r="K115" s="126"/>
      <c r="L115" s="126"/>
    </row>
    <row r="116" spans="2:12" ht="14.25" x14ac:dyDescent="0.2">
      <c r="B116" s="247" t="s">
        <v>214</v>
      </c>
      <c r="C116" s="247"/>
      <c r="D116" s="247"/>
      <c r="E116" s="247"/>
      <c r="F116" s="139"/>
      <c r="G116" s="139"/>
      <c r="H116" s="139"/>
      <c r="I116" s="139"/>
      <c r="J116" s="247" t="s">
        <v>191</v>
      </c>
      <c r="K116" s="247"/>
      <c r="L116" s="247"/>
    </row>
    <row r="117" spans="2:12" ht="14.25" x14ac:dyDescent="0.2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</row>
    <row r="118" spans="2:12" ht="240.75" customHeight="1" x14ac:dyDescent="0.2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</row>
    <row r="119" spans="2:12" ht="14.25" x14ac:dyDescent="0.2"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</row>
    <row r="120" spans="2:12" ht="14.25" x14ac:dyDescent="0.2"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</row>
    <row r="121" spans="2:12" ht="14.25" x14ac:dyDescent="0.2"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</row>
    <row r="122" spans="2:12" ht="14.25" x14ac:dyDescent="0.2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</row>
    <row r="123" spans="2:12" ht="14.25" x14ac:dyDescent="0.2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</row>
    <row r="124" spans="2:12" ht="14.25" x14ac:dyDescent="0.2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</row>
    <row r="125" spans="2:12" ht="14.25" x14ac:dyDescent="0.2"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</row>
    <row r="126" spans="2:12" ht="14.25" x14ac:dyDescent="0.2"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</row>
    <row r="127" spans="2:12" ht="14.25" x14ac:dyDescent="0.2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</row>
    <row r="128" spans="2:12" ht="14.25" x14ac:dyDescent="0.2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</row>
    <row r="129" spans="2:12" ht="14.25" x14ac:dyDescent="0.2"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</row>
    <row r="130" spans="2:12" ht="14.25" x14ac:dyDescent="0.2"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</row>
    <row r="131" spans="2:12" ht="14.25" x14ac:dyDescent="0.2"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</row>
    <row r="132" spans="2:12" ht="14.25" x14ac:dyDescent="0.2"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</row>
    <row r="133" spans="2:12" ht="14.25" x14ac:dyDescent="0.2"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</row>
    <row r="134" spans="2:12" ht="14.25" x14ac:dyDescent="0.2"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</row>
    <row r="135" spans="2:12" ht="14.25" x14ac:dyDescent="0.2"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</row>
    <row r="136" spans="2:12" ht="14.25" x14ac:dyDescent="0.2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</row>
    <row r="137" spans="2:12" ht="14.25" x14ac:dyDescent="0.2"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</row>
    <row r="138" spans="2:12" ht="14.25" x14ac:dyDescent="0.2"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</row>
    <row r="139" spans="2:12" ht="14.25" x14ac:dyDescent="0.2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</row>
    <row r="140" spans="2:12" ht="14.25" x14ac:dyDescent="0.2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</row>
    <row r="141" spans="2:12" ht="14.25" x14ac:dyDescent="0.2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</row>
    <row r="142" spans="2:12" ht="14.25" x14ac:dyDescent="0.2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</row>
    <row r="143" spans="2:12" ht="14.25" x14ac:dyDescent="0.2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</row>
    <row r="144" spans="2:12" ht="14.25" x14ac:dyDescent="0.2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</row>
    <row r="145" spans="2:12" ht="14.25" x14ac:dyDescent="0.2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</row>
    <row r="146" spans="2:12" ht="14.25" x14ac:dyDescent="0.2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</row>
    <row r="147" spans="2:12" ht="14.25" x14ac:dyDescent="0.2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</row>
    <row r="148" spans="2:12" ht="14.25" x14ac:dyDescent="0.2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</row>
    <row r="149" spans="2:12" ht="14.25" x14ac:dyDescent="0.2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</row>
    <row r="150" spans="2:12" ht="14.25" x14ac:dyDescent="0.2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</row>
    <row r="151" spans="2:12" ht="14.25" x14ac:dyDescent="0.2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</row>
    <row r="152" spans="2:12" ht="14.25" x14ac:dyDescent="0.2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</row>
    <row r="153" spans="2:12" ht="14.25" x14ac:dyDescent="0.2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</row>
    <row r="154" spans="2:12" ht="14.25" x14ac:dyDescent="0.2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</row>
  </sheetData>
  <sheetProtection algorithmName="SHA-512" hashValue="UPQGIV4o3SXPEVfp6AvtBWsu3wqFJ+RqhFwtx94P4BwVs+er7iJuGmK60yOil31DVGSjzTgdlvkNYPnywGP9mw==" saltValue="+Ss+U1snrZSdIgqmC2/83w==" spinCount="100000" sheet="1" selectLockedCells="1"/>
  <mergeCells count="70">
    <mergeCell ref="C42:F42"/>
    <mergeCell ref="C43:F43"/>
    <mergeCell ref="C51:E51"/>
    <mergeCell ref="C50:E50"/>
    <mergeCell ref="C45:D45"/>
    <mergeCell ref="F45:J45"/>
    <mergeCell ref="F49:G49"/>
    <mergeCell ref="H49:I49"/>
    <mergeCell ref="C41:F41"/>
    <mergeCell ref="E5:I5"/>
    <mergeCell ref="B10:E10"/>
    <mergeCell ref="F10:L10"/>
    <mergeCell ref="B11:E11"/>
    <mergeCell ref="F11:L11"/>
    <mergeCell ref="C39:F39"/>
    <mergeCell ref="C40:F40"/>
    <mergeCell ref="B18:E18"/>
    <mergeCell ref="F18:G18"/>
    <mergeCell ref="C36:F36"/>
    <mergeCell ref="C37:F37"/>
    <mergeCell ref="C38:F38"/>
    <mergeCell ref="J16:L16"/>
    <mergeCell ref="B16:D16"/>
    <mergeCell ref="J17:L17"/>
    <mergeCell ref="J18:L18"/>
    <mergeCell ref="H35:I35"/>
    <mergeCell ref="B12:E12"/>
    <mergeCell ref="F12:L12"/>
    <mergeCell ref="B13:E13"/>
    <mergeCell ref="G13:I13"/>
    <mergeCell ref="B14:D14"/>
    <mergeCell ref="G14:H14"/>
    <mergeCell ref="B116:E116"/>
    <mergeCell ref="J116:L116"/>
    <mergeCell ref="D61:E61"/>
    <mergeCell ref="D59:E59"/>
    <mergeCell ref="C75:J75"/>
    <mergeCell ref="C76:J76"/>
    <mergeCell ref="C92:J92"/>
    <mergeCell ref="B107:E107"/>
    <mergeCell ref="J107:L107"/>
    <mergeCell ref="B108:E108"/>
    <mergeCell ref="C69:C70"/>
    <mergeCell ref="L69:L70"/>
    <mergeCell ref="C65:C66"/>
    <mergeCell ref="C67:C68"/>
    <mergeCell ref="C63:C64"/>
    <mergeCell ref="D71:E71"/>
    <mergeCell ref="D69:I70"/>
    <mergeCell ref="C54:E54"/>
    <mergeCell ref="C53:E53"/>
    <mergeCell ref="C52:E52"/>
    <mergeCell ref="C56:D56"/>
    <mergeCell ref="F56:J56"/>
    <mergeCell ref="I2:L2"/>
    <mergeCell ref="J108:L108"/>
    <mergeCell ref="C95:C96"/>
    <mergeCell ref="D95:E96"/>
    <mergeCell ref="C80:J80"/>
    <mergeCell ref="C81:J81"/>
    <mergeCell ref="C91:J91"/>
    <mergeCell ref="C93:J93"/>
    <mergeCell ref="C86:J86"/>
    <mergeCell ref="C87:J87"/>
    <mergeCell ref="C88:J88"/>
    <mergeCell ref="C89:J89"/>
    <mergeCell ref="C90:J90"/>
    <mergeCell ref="C77:J77"/>
    <mergeCell ref="C78:J78"/>
    <mergeCell ref="C79:J79"/>
  </mergeCells>
  <conditionalFormatting sqref="D59:E59">
    <cfRule type="cellIs" dxfId="32" priority="1" operator="greaterThan">
      <formula>2000</formula>
    </cfRule>
  </conditionalFormatting>
  <conditionalFormatting sqref="E16">
    <cfRule type="cellIs" dxfId="31" priority="49" stopIfTrue="1" operator="notEqual">
      <formula>$F$37+#REF!+$F$38+#REF!+$F$39+#REF!+$F$40+#REF!+$F$41+$F$42+$F$43+$H$37+#REF!+$H$38+#REF!+$H$39+#REF!+$H$40+#REF!+$H$41+$H$42+$H$43+$F$51+$F$52+$F$53+$F$54+$G$51+$G$52+$G$53+$G$54</formula>
    </cfRule>
  </conditionalFormatting>
  <conditionalFormatting sqref="I37">
    <cfRule type="expression" dxfId="29" priority="43">
      <formula>OR($I$37&lt;108,$I$37&gt;216)</formula>
    </cfRule>
  </conditionalFormatting>
  <conditionalFormatting sqref="I38">
    <cfRule type="expression" dxfId="28" priority="18">
      <formula>OR($I$38&lt;91,$I$38&gt;182)</formula>
    </cfRule>
  </conditionalFormatting>
  <conditionalFormatting sqref="I39">
    <cfRule type="expression" dxfId="27" priority="16">
      <formula>OR($I$39&lt;83,$I$39&gt;166)</formula>
    </cfRule>
  </conditionalFormatting>
  <conditionalFormatting sqref="I40">
    <cfRule type="expression" dxfId="26" priority="14">
      <formula>OR($I$40&lt;76,$I$40&gt;152)</formula>
    </cfRule>
  </conditionalFormatting>
  <conditionalFormatting sqref="I41">
    <cfRule type="expression" dxfId="25" priority="12">
      <formula>OR($I$41&lt;50,$I$41&gt;100)</formula>
    </cfRule>
  </conditionalFormatting>
  <conditionalFormatting sqref="I42">
    <cfRule type="expression" dxfId="24" priority="11">
      <formula>OR($I$42&lt;45,$I$42&gt;90)</formula>
    </cfRule>
  </conditionalFormatting>
  <conditionalFormatting sqref="I43">
    <cfRule type="expression" dxfId="23" priority="10">
      <formula>OR($I$43&lt;45,$I$43&gt;90)</formula>
    </cfRule>
  </conditionalFormatting>
  <conditionalFormatting sqref="L27:L28">
    <cfRule type="cellIs" dxfId="22" priority="3" operator="lessThan">
      <formula>0</formula>
    </cfRule>
  </conditionalFormatting>
  <conditionalFormatting sqref="L101">
    <cfRule type="cellIs" dxfId="21" priority="4" operator="lessThan">
      <formula>0</formula>
    </cfRule>
  </conditionalFormatting>
  <dataValidations count="10">
    <dataValidation operator="lessThanOrEqual" allowBlank="1" error="Stawka zbyt wysoka" sqref="I37" xr:uid="{00000000-0002-0000-0000-000001000000}"/>
    <dataValidation type="list" allowBlank="1" showInputMessage="1" sqref="I14 E14" xr:uid="{00000000-0002-0000-0000-000004000000}">
      <formula1>mc</formula1>
    </dataValidation>
    <dataValidation type="list" allowBlank="1" showInputMessage="1" showErrorMessage="1" sqref="E5:I5" xr:uid="{00000000-0002-0000-0000-000006000000}">
      <formula1>typ</formula1>
    </dataValidation>
    <dataValidation type="list" allowBlank="1" showInputMessage="1" showErrorMessage="1" sqref="F11:L11" xr:uid="{00000000-0002-0000-0000-000007000000}">
      <formula1>ins</formula1>
    </dataValidation>
    <dataValidation type="list" allowBlank="1" showInputMessage="1" showErrorMessage="1" sqref="F12:L12" xr:uid="{00000000-0002-0000-0000-000008000000}">
      <formula1>wydz</formula1>
    </dataValidation>
    <dataValidation type="list" allowBlank="1" showInputMessage="1" showErrorMessage="1" sqref="F14 J14 H7" xr:uid="{00000000-0002-0000-0000-000009000000}">
      <formula1>rok</formula1>
    </dataValidation>
    <dataValidation type="list" allowBlank="1" showInputMessage="1" showErrorMessage="1" sqref="L7" xr:uid="{00000000-0002-0000-0000-00000A000000}">
      <formula1>anek</formula1>
    </dataValidation>
    <dataValidation type="whole" operator="greaterThanOrEqual" allowBlank="1" showInputMessage="1" showErrorMessage="1" sqref="L75:L93" xr:uid="{00000000-0002-0000-0000-00000B000000}">
      <formula1>0</formula1>
    </dataValidation>
    <dataValidation type="list" allowBlank="1" showInputMessage="1" showErrorMessage="1" sqref="K14" xr:uid="{00000000-0002-0000-0000-000005000000}">
      <formula1>$Z$17:$Z$30</formula1>
    </dataValidation>
    <dataValidation type="list" allowBlank="1" showInputMessage="1" showErrorMessage="1" sqref="F18:G18" xr:uid="{FC482451-4D63-4ABF-9867-670623835BFA}">
      <formula1>forma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 alignWithMargins="0"/>
  <rowBreaks count="1" manualBreakCount="1">
    <brk id="62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A83134BC-F60C-42AC-A7DE-BDA5ABECFC29}">
            <xm:f>$D$58=Arkusz2!$B$19</xm:f>
            <x14:dxf>
              <fill>
                <patternFill patternType="darkTrellis"/>
              </fill>
            </x14:dxf>
          </x14:cfRule>
          <xm:sqref>D60</xm:sqref>
        </x14:conditionalFormatting>
        <x14:conditionalFormatting xmlns:xm="http://schemas.microsoft.com/office/excel/2006/main">
          <x14:cfRule type="expression" priority="22" id="{DE9038F0-46FA-4AEE-AF16-C5D2BCDF12CD}">
            <xm:f>$D$58=Arkusz2!$B$19</xm:f>
            <x14:dxf>
              <fill>
                <patternFill patternType="darkTrellis"/>
              </fill>
            </x14:dxf>
          </x14:cfRule>
          <xm:sqref>F60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96BD-BFBB-4936-BE6F-1CE25A0F1E6B}">
  <sheetPr codeName="Arkusz2">
    <pageSetUpPr fitToPage="1"/>
  </sheetPr>
  <dimension ref="B1:AN154"/>
  <sheetViews>
    <sheetView showGridLines="0" view="pageBreakPreview" zoomScaleNormal="100" zoomScaleSheetLayoutView="100" workbookViewId="0">
      <selection activeCell="L3" sqref="L3"/>
    </sheetView>
  </sheetViews>
  <sheetFormatPr defaultRowHeight="12.75" x14ac:dyDescent="0.2"/>
  <cols>
    <col min="1" max="1" width="9.140625" style="43"/>
    <col min="2" max="2" width="6.42578125" style="43" customWidth="1"/>
    <col min="3" max="3" width="13.7109375" style="43" customWidth="1"/>
    <col min="4" max="4" width="6.42578125" style="43" customWidth="1"/>
    <col min="5" max="8" width="16" style="43" customWidth="1"/>
    <col min="9" max="9" width="17.5703125" style="43" bestFit="1" customWidth="1"/>
    <col min="10" max="10" width="15.85546875" style="43" customWidth="1"/>
    <col min="11" max="11" width="14.85546875" style="43" hidden="1" customWidth="1"/>
    <col min="12" max="13" width="17.140625" style="43" customWidth="1"/>
    <col min="14" max="14" width="9.140625" style="43"/>
    <col min="15" max="15" width="10.140625" style="43" bestFit="1" customWidth="1"/>
    <col min="16" max="16" width="9.140625" style="43"/>
    <col min="17" max="17" width="10.28515625" style="43" bestFit="1" customWidth="1"/>
    <col min="18" max="18" width="9.140625" style="43"/>
    <col min="19" max="19" width="10.140625" style="43" bestFit="1" customWidth="1"/>
    <col min="20" max="24" width="9.140625" style="43"/>
    <col min="25" max="25" width="12.85546875" style="43" bestFit="1" customWidth="1"/>
    <col min="26" max="16384" width="9.140625" style="43"/>
  </cols>
  <sheetData>
    <row r="1" spans="2:35" ht="13.5" thickBot="1" x14ac:dyDescent="0.25"/>
    <row r="2" spans="2:35" ht="13.5" thickTop="1" x14ac:dyDescent="0.2">
      <c r="B2" s="165"/>
      <c r="C2" s="65"/>
      <c r="D2" s="65"/>
      <c r="E2" s="65"/>
      <c r="F2" s="65"/>
      <c r="G2" s="65"/>
      <c r="H2" s="65"/>
      <c r="I2" s="65"/>
      <c r="J2" s="65"/>
      <c r="K2" s="65"/>
      <c r="L2" s="209"/>
      <c r="M2" s="66"/>
    </row>
    <row r="3" spans="2:35" ht="20.25" customHeight="1" x14ac:dyDescent="0.2">
      <c r="B3" s="38"/>
      <c r="C3" s="67"/>
      <c r="D3" s="68"/>
      <c r="E3" s="68"/>
      <c r="F3" s="68"/>
      <c r="G3" s="68"/>
      <c r="H3" s="68"/>
      <c r="I3" s="68"/>
      <c r="J3" s="69" t="s">
        <v>0</v>
      </c>
      <c r="K3" s="69"/>
      <c r="L3" s="210"/>
      <c r="M3" s="163"/>
    </row>
    <row r="4" spans="2:35" ht="23.25" customHeight="1" x14ac:dyDescent="0.2">
      <c r="B4" s="38"/>
      <c r="C4" s="68"/>
      <c r="D4" s="68"/>
      <c r="E4" s="68"/>
      <c r="F4" s="68"/>
      <c r="G4" s="68"/>
      <c r="H4" s="68"/>
      <c r="I4" s="68"/>
      <c r="J4" s="68"/>
      <c r="K4" s="68"/>
      <c r="L4" s="68"/>
      <c r="M4" s="70"/>
    </row>
    <row r="5" spans="2:35" ht="18" customHeight="1" x14ac:dyDescent="0.25">
      <c r="B5" s="71"/>
      <c r="C5" s="72"/>
      <c r="D5" s="72"/>
      <c r="E5" s="281" t="s">
        <v>224</v>
      </c>
      <c r="F5" s="281"/>
      <c r="G5" s="281"/>
      <c r="H5" s="281"/>
      <c r="I5" s="281"/>
      <c r="J5" s="41"/>
      <c r="K5" s="41"/>
      <c r="L5" s="149"/>
      <c r="M5" s="42"/>
    </row>
    <row r="6" spans="2:35" ht="18" customHeight="1" x14ac:dyDescent="0.25"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37"/>
      <c r="N6" s="45"/>
    </row>
    <row r="7" spans="2:35" ht="18" customHeight="1" x14ac:dyDescent="0.25">
      <c r="B7" s="75"/>
      <c r="C7" s="76"/>
      <c r="D7" s="76"/>
      <c r="E7" s="76"/>
      <c r="F7" s="77" t="s">
        <v>3</v>
      </c>
      <c r="G7" s="229"/>
      <c r="H7" s="228">
        <f>'kosztorys podypl.'!H7</f>
        <v>0</v>
      </c>
      <c r="I7" s="68"/>
      <c r="J7" s="77" t="s">
        <v>4</v>
      </c>
      <c r="K7" s="77"/>
      <c r="L7" s="228" t="str">
        <f>'kosztorys podypl.'!L7</f>
        <v>-----------------------</v>
      </c>
      <c r="M7" s="42"/>
      <c r="AI7" s="46"/>
    </row>
    <row r="8" spans="2:35" ht="16.5" x14ac:dyDescent="0.25">
      <c r="B8" s="38"/>
      <c r="C8" s="68"/>
      <c r="D8" s="68"/>
      <c r="E8" s="68"/>
      <c r="F8" s="68"/>
      <c r="G8" s="78"/>
      <c r="H8" s="79"/>
      <c r="I8" s="68"/>
      <c r="J8" s="68"/>
      <c r="K8" s="68"/>
      <c r="L8" s="68"/>
      <c r="M8" s="42"/>
    </row>
    <row r="9" spans="2:35" ht="16.5" x14ac:dyDescent="0.25">
      <c r="B9" s="38"/>
      <c r="C9" s="68"/>
      <c r="D9" s="68"/>
      <c r="E9" s="68"/>
      <c r="F9" s="68"/>
      <c r="G9" s="68"/>
      <c r="H9" s="68"/>
      <c r="I9" s="68"/>
      <c r="J9" s="68"/>
      <c r="K9" s="68"/>
      <c r="L9" s="68"/>
      <c r="M9" s="42"/>
    </row>
    <row r="10" spans="2:35" ht="18" customHeight="1" x14ac:dyDescent="0.25">
      <c r="B10" s="259" t="s">
        <v>192</v>
      </c>
      <c r="C10" s="260"/>
      <c r="D10" s="260"/>
      <c r="E10" s="260"/>
      <c r="F10" s="282">
        <f>'kosztorys podypl.'!F10</f>
        <v>0</v>
      </c>
      <c r="G10" s="282"/>
      <c r="H10" s="282"/>
      <c r="I10" s="282"/>
      <c r="J10" s="282"/>
      <c r="K10" s="282"/>
      <c r="L10" s="282"/>
      <c r="M10" s="42"/>
    </row>
    <row r="11" spans="2:35" ht="18" customHeight="1" x14ac:dyDescent="0.25">
      <c r="B11" s="259" t="s">
        <v>109</v>
      </c>
      <c r="C11" s="260"/>
      <c r="D11" s="260"/>
      <c r="E11" s="260"/>
      <c r="F11" s="282">
        <f>'kosztorys podypl.'!F11</f>
        <v>0</v>
      </c>
      <c r="G11" s="282"/>
      <c r="H11" s="282"/>
      <c r="I11" s="282"/>
      <c r="J11" s="282"/>
      <c r="K11" s="282"/>
      <c r="L11" s="282"/>
      <c r="M11" s="42"/>
      <c r="Y11" s="47"/>
    </row>
    <row r="12" spans="2:35" ht="18" customHeight="1" x14ac:dyDescent="0.25">
      <c r="B12" s="259" t="s">
        <v>110</v>
      </c>
      <c r="C12" s="260"/>
      <c r="D12" s="260"/>
      <c r="E12" s="260"/>
      <c r="F12" s="282">
        <f>'kosztorys podypl.'!F12</f>
        <v>0</v>
      </c>
      <c r="G12" s="282"/>
      <c r="H12" s="282"/>
      <c r="I12" s="282"/>
      <c r="J12" s="282"/>
      <c r="K12" s="282"/>
      <c r="L12" s="282"/>
      <c r="M12" s="42"/>
    </row>
    <row r="13" spans="2:35" ht="18" customHeight="1" x14ac:dyDescent="0.25">
      <c r="B13" s="259" t="s">
        <v>193</v>
      </c>
      <c r="C13" s="260"/>
      <c r="D13" s="260"/>
      <c r="E13" s="260"/>
      <c r="F13" s="227">
        <f>'kosztorys podypl.'!F13</f>
        <v>0</v>
      </c>
      <c r="G13" s="263" t="s">
        <v>194</v>
      </c>
      <c r="H13" s="263"/>
      <c r="I13" s="263"/>
      <c r="J13" s="80"/>
      <c r="K13" s="80"/>
      <c r="L13" s="80"/>
      <c r="M13" s="42"/>
    </row>
    <row r="14" spans="2:35" ht="18" customHeight="1" x14ac:dyDescent="0.25">
      <c r="B14" s="259" t="s">
        <v>112</v>
      </c>
      <c r="C14" s="260"/>
      <c r="D14" s="260"/>
      <c r="E14" s="227">
        <f>'kosztorys podypl.'!E14</f>
        <v>0</v>
      </c>
      <c r="F14" s="227">
        <f>'kosztorys podypl.'!F14</f>
        <v>0</v>
      </c>
      <c r="G14" s="260" t="s">
        <v>113</v>
      </c>
      <c r="H14" s="260"/>
      <c r="I14" s="227">
        <f>'kosztorys podypl.'!I14</f>
        <v>0</v>
      </c>
      <c r="J14" s="227">
        <f>'kosztorys podypl.'!J14</f>
        <v>0</v>
      </c>
      <c r="K14" s="82"/>
      <c r="L14" s="80"/>
      <c r="M14" s="42"/>
    </row>
    <row r="15" spans="2:35" ht="12" customHeight="1" x14ac:dyDescent="0.25">
      <c r="B15" s="83"/>
      <c r="C15" s="80"/>
      <c r="D15" s="80"/>
      <c r="E15" s="84" t="s">
        <v>9</v>
      </c>
      <c r="F15" s="84" t="s">
        <v>10</v>
      </c>
      <c r="G15" s="85"/>
      <c r="H15" s="85"/>
      <c r="I15" s="84" t="s">
        <v>9</v>
      </c>
      <c r="J15" s="84" t="s">
        <v>10</v>
      </c>
      <c r="K15" s="84"/>
      <c r="L15" s="80"/>
      <c r="M15" s="42"/>
    </row>
    <row r="16" spans="2:35" ht="18" customHeight="1" x14ac:dyDescent="0.25">
      <c r="B16" s="259" t="s">
        <v>114</v>
      </c>
      <c r="C16" s="260"/>
      <c r="D16" s="260"/>
      <c r="E16" s="151">
        <f>SUM(G37:G43,H37:H43,F51:G54)</f>
        <v>0</v>
      </c>
      <c r="F16" s="80"/>
      <c r="G16" s="86"/>
      <c r="H16" s="87"/>
      <c r="I16" s="80"/>
      <c r="J16" s="255"/>
      <c r="K16" s="255"/>
      <c r="L16" s="255"/>
      <c r="M16" s="42"/>
    </row>
    <row r="17" spans="2:40" ht="18" customHeight="1" x14ac:dyDescent="0.25">
      <c r="B17" s="83"/>
      <c r="C17" s="80"/>
      <c r="D17" s="80"/>
      <c r="E17" s="68"/>
      <c r="F17" s="69"/>
      <c r="G17" s="86"/>
      <c r="H17" s="87"/>
      <c r="I17" s="69"/>
      <c r="J17" s="255"/>
      <c r="K17" s="255"/>
      <c r="L17" s="255"/>
      <c r="M17" s="42"/>
      <c r="AG17" s="48"/>
      <c r="AH17" s="49"/>
      <c r="AJ17" s="48"/>
      <c r="AK17" s="48"/>
      <c r="AL17" s="48"/>
      <c r="AM17" s="48"/>
    </row>
    <row r="18" spans="2:40" ht="18" customHeight="1" x14ac:dyDescent="0.25">
      <c r="B18" s="259" t="s">
        <v>217</v>
      </c>
      <c r="C18" s="260"/>
      <c r="D18" s="260"/>
      <c r="E18" s="260"/>
      <c r="F18" s="280">
        <f>'kosztorys podypl.'!F18</f>
        <v>0</v>
      </c>
      <c r="G18" s="280"/>
      <c r="H18" s="87"/>
      <c r="I18" s="80"/>
      <c r="J18" s="255"/>
      <c r="K18" s="255"/>
      <c r="L18" s="255"/>
      <c r="M18" s="42"/>
      <c r="AG18" s="48"/>
      <c r="AH18" s="49"/>
      <c r="AJ18" s="48"/>
      <c r="AK18" s="48"/>
      <c r="AL18" s="48"/>
      <c r="AM18" s="48"/>
    </row>
    <row r="19" spans="2:40" ht="18" customHeight="1" x14ac:dyDescent="0.25">
      <c r="B19" s="83"/>
      <c r="C19" s="80"/>
      <c r="D19" s="80"/>
      <c r="E19" s="68"/>
      <c r="F19" s="69"/>
      <c r="G19" s="68"/>
      <c r="H19" s="68"/>
      <c r="I19" s="68"/>
      <c r="J19" s="80"/>
      <c r="K19" s="80"/>
      <c r="L19" s="80"/>
      <c r="M19" s="42"/>
      <c r="AG19" s="48"/>
      <c r="AH19" s="49"/>
      <c r="AJ19" s="48"/>
      <c r="AK19" s="48"/>
      <c r="AL19" s="48"/>
      <c r="AM19" s="48"/>
    </row>
    <row r="20" spans="2:40" ht="15" thickBot="1" x14ac:dyDescent="0.25"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4"/>
      <c r="AG20" s="48"/>
      <c r="AH20" s="49"/>
      <c r="AJ20" s="48"/>
      <c r="AK20" s="48"/>
      <c r="AL20" s="48"/>
      <c r="AM20" s="48"/>
    </row>
    <row r="21" spans="2:40" s="44" customFormat="1" ht="17.25" thickTop="1" thickBot="1" x14ac:dyDescent="0.25">
      <c r="B21" s="88" t="s">
        <v>18</v>
      </c>
      <c r="C21" s="89"/>
      <c r="D21" s="89"/>
      <c r="E21" s="89"/>
      <c r="F21" s="89"/>
      <c r="G21" s="89"/>
      <c r="H21" s="89"/>
      <c r="I21" s="89"/>
      <c r="J21" s="89"/>
      <c r="K21" s="89"/>
      <c r="L21" s="90" t="s">
        <v>215</v>
      </c>
      <c r="M21" s="90" t="s">
        <v>216</v>
      </c>
      <c r="Y21" s="43"/>
      <c r="Z21" s="43"/>
      <c r="AF21" s="43"/>
      <c r="AG21" s="50"/>
      <c r="AH21" s="49"/>
      <c r="AI21" s="43"/>
      <c r="AJ21" s="50"/>
      <c r="AK21" s="50"/>
      <c r="AL21" s="50"/>
      <c r="AM21" s="50"/>
      <c r="AN21" s="43"/>
    </row>
    <row r="22" spans="2:40" s="44" customFormat="1" ht="21.95" customHeight="1" thickTop="1" x14ac:dyDescent="0.2">
      <c r="B22" s="91"/>
      <c r="C22" s="92"/>
      <c r="D22" s="92"/>
      <c r="E22" s="92"/>
      <c r="F22" s="93"/>
      <c r="G22" s="93"/>
      <c r="H22" s="93"/>
      <c r="I22" s="93"/>
      <c r="J22" s="168"/>
      <c r="K22" s="94"/>
      <c r="L22" s="95"/>
      <c r="M22" s="95"/>
      <c r="Y22" s="43"/>
      <c r="Z22" s="43"/>
      <c r="AA22" s="43"/>
      <c r="AB22" s="43"/>
      <c r="AC22" s="43"/>
      <c r="AD22" s="43"/>
      <c r="AE22" s="43"/>
      <c r="AF22" s="43"/>
      <c r="AG22" s="50"/>
      <c r="AH22" s="49"/>
      <c r="AI22" s="43"/>
      <c r="AJ22" s="50"/>
      <c r="AK22" s="50"/>
      <c r="AL22" s="50"/>
      <c r="AM22" s="50"/>
      <c r="AN22" s="43"/>
    </row>
    <row r="23" spans="2:40" ht="15.75" x14ac:dyDescent="0.2">
      <c r="B23" s="96"/>
      <c r="C23" s="97"/>
      <c r="D23" s="97"/>
      <c r="E23" s="154" t="str">
        <f>IF(E5="KOSZTORYS STUDIÓW NIESTACJONARNYCH",Arkusz2!B4,Arkusz2!B2)</f>
        <v>semestr I</v>
      </c>
      <c r="F23" s="154" t="str">
        <f>IF(E5="KOSZTORYS STUDIÓW NIESTACJONARNYCH",Arkusz2!C4,Arkusz2!C2)</f>
        <v>semestr II</v>
      </c>
      <c r="G23" s="154" t="str">
        <f>IF(E5="KOSZTORYS STUDIÓW NIESTACJONARNYCH",Arkusz2!D4,Arkusz2!D2)</f>
        <v>semestr III</v>
      </c>
      <c r="H23" s="154" t="str">
        <f>IF(E5="KOSZTORYS STUDIÓW NIESTACJONARNYCH",Arkusz2!E4,Arkusz2!E2)</f>
        <v>semestr IV</v>
      </c>
      <c r="I23" s="154" t="str">
        <f>IF(E5="KOSZTORYS STUDIÓW NIESTACJONARNYCH",Arkusz2!F4,Arkusz2!F2)</f>
        <v>semestr V</v>
      </c>
      <c r="J23" s="207"/>
      <c r="K23" s="70"/>
      <c r="L23" s="35"/>
      <c r="M23" s="35"/>
      <c r="AG23" s="48"/>
      <c r="AH23" s="49"/>
      <c r="AJ23" s="48"/>
      <c r="AK23" s="48"/>
      <c r="AL23" s="48"/>
      <c r="AM23" s="48"/>
    </row>
    <row r="24" spans="2:40" ht="18" customHeight="1" x14ac:dyDescent="0.2">
      <c r="B24" s="98" t="s">
        <v>119</v>
      </c>
      <c r="C24" s="97" t="str">
        <f>IF(E5="KOSZTORYS STUDIÓW NIESTACJONARNYCH",Arkusz2!B15,Arkusz2!B14)</f>
        <v>Opłata semestralna:</v>
      </c>
      <c r="D24" s="97"/>
      <c r="E24" s="226">
        <f>'kosztorys podypl.'!E24</f>
        <v>0</v>
      </c>
      <c r="F24" s="226">
        <f>'kosztorys podypl.'!F24</f>
        <v>0</v>
      </c>
      <c r="G24" s="226">
        <f>'kosztorys podypl.'!G24</f>
        <v>0</v>
      </c>
      <c r="H24" s="226">
        <f>'kosztorys podypl.'!H24</f>
        <v>0</v>
      </c>
      <c r="I24" s="226">
        <f>'kosztorys podypl.'!I24</f>
        <v>0</v>
      </c>
      <c r="J24" s="208"/>
      <c r="K24" s="99"/>
      <c r="L24" s="35"/>
      <c r="M24" s="35"/>
      <c r="AB24" s="48"/>
      <c r="AG24" s="48"/>
      <c r="AH24" s="49"/>
      <c r="AI24" s="44"/>
      <c r="AJ24" s="48"/>
      <c r="AK24" s="48"/>
      <c r="AL24" s="48"/>
      <c r="AM24" s="48"/>
    </row>
    <row r="25" spans="2:40" ht="18" customHeight="1" x14ac:dyDescent="0.2">
      <c r="B25" s="98" t="s">
        <v>121</v>
      </c>
      <c r="C25" s="97" t="s">
        <v>27</v>
      </c>
      <c r="D25" s="97"/>
      <c r="E25" s="221">
        <f>'kosztorys podypl.'!E25</f>
        <v>0</v>
      </c>
      <c r="F25" s="221">
        <f>'kosztorys podypl.'!F25</f>
        <v>0</v>
      </c>
      <c r="G25" s="221">
        <f>'kosztorys podypl.'!G25</f>
        <v>0</v>
      </c>
      <c r="H25" s="221">
        <f>'kosztorys podypl.'!H25</f>
        <v>0</v>
      </c>
      <c r="I25" s="221">
        <f>'kosztorys podypl.'!I25</f>
        <v>0</v>
      </c>
      <c r="J25" s="109"/>
      <c r="K25" s="99"/>
      <c r="L25" s="100"/>
      <c r="M25" s="100"/>
      <c r="AG25" s="48"/>
      <c r="AH25" s="49"/>
      <c r="AJ25" s="48"/>
      <c r="AK25" s="48"/>
      <c r="AL25" s="48"/>
      <c r="AM25" s="48"/>
    </row>
    <row r="26" spans="2:40" ht="10.5" customHeight="1" x14ac:dyDescent="0.2">
      <c r="B26" s="38"/>
      <c r="C26" s="68"/>
      <c r="D26" s="80"/>
      <c r="E26" s="80"/>
      <c r="F26" s="68"/>
      <c r="G26" s="68"/>
      <c r="H26" s="68"/>
      <c r="I26" s="68"/>
      <c r="J26" s="109"/>
      <c r="K26" s="99"/>
      <c r="L26" s="100"/>
      <c r="M26" s="100"/>
      <c r="Y26" s="46"/>
      <c r="AG26" s="48"/>
      <c r="AH26" s="49"/>
      <c r="AJ26" s="48"/>
      <c r="AK26" s="48"/>
      <c r="AL26" s="48"/>
      <c r="AM26" s="48"/>
    </row>
    <row r="27" spans="2:40" ht="15" customHeight="1" x14ac:dyDescent="0.2">
      <c r="B27" s="38"/>
      <c r="C27" s="68"/>
      <c r="D27" s="80"/>
      <c r="E27" s="80"/>
      <c r="F27" s="68"/>
      <c r="G27" s="120" t="s">
        <v>209</v>
      </c>
      <c r="H27" s="120"/>
      <c r="I27" s="120"/>
      <c r="J27" s="120"/>
      <c r="K27" s="80"/>
      <c r="L27" s="40">
        <f>(E24*E25)+(F24*F25)+(G24*G25)+(H24*H25)+(I24*I25)</f>
        <v>0</v>
      </c>
      <c r="M27" s="230"/>
      <c r="Y27" s="46"/>
      <c r="AG27" s="48"/>
      <c r="AH27" s="49"/>
      <c r="AJ27" s="48"/>
      <c r="AK27" s="48"/>
      <c r="AL27" s="48"/>
      <c r="AM27" s="48"/>
    </row>
    <row r="28" spans="2:40" ht="15" customHeight="1" x14ac:dyDescent="0.2">
      <c r="B28" s="83"/>
      <c r="C28" s="176"/>
      <c r="D28" s="80"/>
      <c r="E28" s="80"/>
      <c r="F28" s="80"/>
      <c r="G28" s="120" t="s">
        <v>210</v>
      </c>
      <c r="H28" s="120"/>
      <c r="I28" s="120"/>
      <c r="J28" s="120"/>
      <c r="K28" s="80"/>
      <c r="L28" s="40">
        <f>ROUND((((E24*E25)*(20%))+((F24*F25)*(10%))+((G24*G25)*(5%))+((H24*H25)*(2.5%))+((I24*I25))*(1.25%)),0)</f>
        <v>0</v>
      </c>
      <c r="M28" s="214"/>
    </row>
    <row r="29" spans="2:40" ht="10.5" customHeight="1" x14ac:dyDescent="0.2">
      <c r="B29" s="38"/>
      <c r="C29" s="68"/>
      <c r="D29" s="80"/>
      <c r="E29" s="80"/>
      <c r="F29" s="68"/>
      <c r="G29" s="68"/>
      <c r="H29" s="68"/>
      <c r="I29" s="68"/>
      <c r="J29" s="109"/>
      <c r="K29" s="99"/>
      <c r="L29" s="100"/>
      <c r="M29" s="100"/>
      <c r="Y29" s="46"/>
      <c r="AG29" s="48"/>
      <c r="AH29" s="49"/>
      <c r="AJ29" s="48"/>
      <c r="AK29" s="48"/>
      <c r="AL29" s="48"/>
      <c r="AM29" s="48"/>
    </row>
    <row r="30" spans="2:40" ht="15" x14ac:dyDescent="0.25">
      <c r="B30" s="101"/>
      <c r="C30" s="80"/>
      <c r="D30" s="80"/>
      <c r="E30" s="80"/>
      <c r="F30" s="80"/>
      <c r="G30" s="80"/>
      <c r="H30" s="80"/>
      <c r="I30" s="80"/>
      <c r="J30" s="77" t="s">
        <v>207</v>
      </c>
      <c r="K30" s="99"/>
      <c r="L30" s="30">
        <f>L27-L28</f>
        <v>0</v>
      </c>
      <c r="M30" s="30">
        <f>M27-M28</f>
        <v>0</v>
      </c>
      <c r="N30" s="45"/>
      <c r="O30" s="45"/>
      <c r="P30" s="45"/>
      <c r="Q30" s="45"/>
      <c r="R30" s="45"/>
      <c r="AG30" s="48"/>
      <c r="AH30" s="49"/>
      <c r="AJ30" s="48"/>
      <c r="AK30" s="48"/>
      <c r="AL30" s="48"/>
      <c r="AM30" s="48"/>
    </row>
    <row r="31" spans="2:40" ht="15" thickBot="1" x14ac:dyDescent="0.25">
      <c r="B31" s="102"/>
      <c r="C31" s="103"/>
      <c r="D31" s="103"/>
      <c r="E31" s="103"/>
      <c r="F31" s="103"/>
      <c r="G31" s="103"/>
      <c r="H31" s="103"/>
      <c r="I31" s="103"/>
      <c r="J31" s="103"/>
      <c r="K31" s="104"/>
      <c r="L31" s="105"/>
      <c r="M31" s="105"/>
      <c r="AG31" s="48"/>
      <c r="AH31" s="49"/>
      <c r="AJ31" s="48"/>
      <c r="AK31" s="48"/>
      <c r="AL31" s="48"/>
      <c r="AM31" s="48"/>
    </row>
    <row r="32" spans="2:40" s="44" customFormat="1" ht="21.95" customHeight="1" thickTop="1" thickBot="1" x14ac:dyDescent="0.25">
      <c r="B32" s="88" t="s">
        <v>123</v>
      </c>
      <c r="C32" s="89"/>
      <c r="D32" s="89"/>
      <c r="E32" s="89"/>
      <c r="F32" s="89"/>
      <c r="G32" s="89"/>
      <c r="H32" s="89"/>
      <c r="I32" s="89"/>
      <c r="J32" s="89"/>
      <c r="K32" s="89"/>
      <c r="L32" s="90" t="s">
        <v>215</v>
      </c>
      <c r="M32" s="90" t="s">
        <v>216</v>
      </c>
    </row>
    <row r="33" spans="2:21" ht="20.100000000000001" customHeight="1" thickTop="1" x14ac:dyDescent="0.2">
      <c r="B33" s="106"/>
      <c r="C33" s="107" t="s">
        <v>119</v>
      </c>
      <c r="D33" s="80" t="s">
        <v>67</v>
      </c>
      <c r="E33" s="80"/>
      <c r="F33" s="80"/>
      <c r="G33" s="80"/>
      <c r="H33" s="80"/>
      <c r="I33" s="80"/>
      <c r="J33" s="80"/>
      <c r="K33" s="80"/>
      <c r="L33" s="105"/>
      <c r="M33" s="105"/>
    </row>
    <row r="34" spans="2:21" ht="15" customHeight="1" x14ac:dyDescent="0.2">
      <c r="B34" s="106"/>
      <c r="C34" s="108"/>
      <c r="D34" s="80"/>
      <c r="E34" s="80"/>
      <c r="F34" s="80"/>
      <c r="G34" s="80"/>
      <c r="H34" s="80"/>
      <c r="I34" s="80"/>
      <c r="J34" s="80"/>
      <c r="K34" s="80"/>
      <c r="L34" s="105"/>
      <c r="M34" s="105"/>
    </row>
    <row r="35" spans="2:21" ht="18" customHeight="1" x14ac:dyDescent="0.2">
      <c r="B35" s="106"/>
      <c r="C35" s="80"/>
      <c r="D35" s="80"/>
      <c r="E35" s="80"/>
      <c r="F35" s="80"/>
      <c r="G35" s="173" t="s">
        <v>36</v>
      </c>
      <c r="H35" s="257" t="s">
        <v>37</v>
      </c>
      <c r="I35" s="258"/>
      <c r="J35" s="80"/>
      <c r="K35" s="80"/>
      <c r="L35" s="105"/>
      <c r="M35" s="105"/>
      <c r="O35" s="51"/>
    </row>
    <row r="36" spans="2:21" ht="18" customHeight="1" x14ac:dyDescent="0.2">
      <c r="B36" s="106"/>
      <c r="C36" s="270" t="s">
        <v>32</v>
      </c>
      <c r="D36" s="271"/>
      <c r="E36" s="271"/>
      <c r="F36" s="272"/>
      <c r="G36" s="172" t="s">
        <v>38</v>
      </c>
      <c r="H36" s="154" t="s">
        <v>38</v>
      </c>
      <c r="I36" s="154" t="s">
        <v>39</v>
      </c>
      <c r="J36" s="80"/>
      <c r="K36" s="80"/>
      <c r="L36" s="105"/>
      <c r="M36" s="105"/>
      <c r="N36" s="52"/>
      <c r="O36" s="51"/>
      <c r="P36" s="52"/>
      <c r="Q36" s="53"/>
    </row>
    <row r="37" spans="2:21" ht="18" customHeight="1" x14ac:dyDescent="0.2">
      <c r="B37" s="106"/>
      <c r="C37" s="264" t="s">
        <v>65</v>
      </c>
      <c r="D37" s="264"/>
      <c r="E37" s="264"/>
      <c r="F37" s="264"/>
      <c r="G37" s="224">
        <f>'kosztorys podypl.'!G37</f>
        <v>0</v>
      </c>
      <c r="H37" s="224">
        <f>'kosztorys podypl.'!H37</f>
        <v>0</v>
      </c>
      <c r="I37" s="225">
        <f>'kosztorys podypl.'!I37</f>
        <v>108</v>
      </c>
      <c r="J37" s="2"/>
      <c r="K37" s="5">
        <f>H37*I37</f>
        <v>0</v>
      </c>
      <c r="L37" s="40">
        <f>ROUND((G37*Arkusz1!C2)+(H37*I37),2)</f>
        <v>0</v>
      </c>
      <c r="M37" s="230"/>
      <c r="N37" s="54"/>
      <c r="O37" s="54"/>
      <c r="P37" s="54"/>
      <c r="Q37" s="54"/>
      <c r="U37" s="55"/>
    </row>
    <row r="38" spans="2:21" ht="18" customHeight="1" x14ac:dyDescent="0.2">
      <c r="B38" s="106"/>
      <c r="C38" s="268" t="s">
        <v>195</v>
      </c>
      <c r="D38" s="268"/>
      <c r="E38" s="268"/>
      <c r="F38" s="268"/>
      <c r="G38" s="224">
        <f>'kosztorys podypl.'!G38</f>
        <v>0</v>
      </c>
      <c r="H38" s="224">
        <f>'kosztorys podypl.'!H38</f>
        <v>0</v>
      </c>
      <c r="I38" s="225">
        <f>'kosztorys podypl.'!I38</f>
        <v>91</v>
      </c>
      <c r="J38" s="4"/>
      <c r="K38" s="5">
        <f t="shared" ref="K38:K43" si="0">H38*I38</f>
        <v>0</v>
      </c>
      <c r="L38" s="40">
        <f>ROUND((G38*Arkusz1!C3)+(H38*I38),2)</f>
        <v>0</v>
      </c>
      <c r="M38" s="230"/>
      <c r="N38" s="54"/>
      <c r="O38" s="54"/>
      <c r="P38" s="54"/>
      <c r="Q38" s="54"/>
      <c r="R38" s="54"/>
    </row>
    <row r="39" spans="2:21" ht="18" customHeight="1" x14ac:dyDescent="0.2">
      <c r="B39" s="106"/>
      <c r="C39" s="268" t="s">
        <v>51</v>
      </c>
      <c r="D39" s="268"/>
      <c r="E39" s="268"/>
      <c r="F39" s="268"/>
      <c r="G39" s="224">
        <f>'kosztorys podypl.'!G39</f>
        <v>0</v>
      </c>
      <c r="H39" s="224">
        <f>'kosztorys podypl.'!H39</f>
        <v>0</v>
      </c>
      <c r="I39" s="225">
        <f>'kosztorys podypl.'!I39</f>
        <v>83</v>
      </c>
      <c r="J39" s="32"/>
      <c r="K39" s="5">
        <f t="shared" si="0"/>
        <v>0</v>
      </c>
      <c r="L39" s="40">
        <f>ROUND((G39*Arkusz1!C4)+(H39*I39),2)</f>
        <v>0</v>
      </c>
      <c r="M39" s="230"/>
      <c r="N39" s="54"/>
      <c r="O39" s="54"/>
      <c r="P39" s="54"/>
      <c r="Q39" s="54"/>
      <c r="R39" s="54"/>
      <c r="U39" s="56"/>
    </row>
    <row r="40" spans="2:21" ht="18" customHeight="1" x14ac:dyDescent="0.2">
      <c r="B40" s="106"/>
      <c r="C40" s="268" t="s">
        <v>54</v>
      </c>
      <c r="D40" s="268"/>
      <c r="E40" s="268"/>
      <c r="F40" s="268"/>
      <c r="G40" s="224">
        <f>'kosztorys podypl.'!G40</f>
        <v>0</v>
      </c>
      <c r="H40" s="224">
        <f>'kosztorys podypl.'!H40</f>
        <v>0</v>
      </c>
      <c r="I40" s="225">
        <f>'kosztorys podypl.'!I40</f>
        <v>76</v>
      </c>
      <c r="J40" s="32"/>
      <c r="K40" s="5">
        <f t="shared" si="0"/>
        <v>0</v>
      </c>
      <c r="L40" s="40">
        <f>ROUND((G40*Arkusz1!C5)+(H40*I40),2)</f>
        <v>0</v>
      </c>
      <c r="M40" s="230"/>
      <c r="N40" s="54"/>
      <c r="O40" s="54"/>
      <c r="P40" s="54"/>
      <c r="Q40" s="54"/>
      <c r="R40" s="54"/>
      <c r="U40" s="55"/>
    </row>
    <row r="41" spans="2:21" ht="18" customHeight="1" x14ac:dyDescent="0.2">
      <c r="B41" s="106"/>
      <c r="C41" s="264" t="s">
        <v>206</v>
      </c>
      <c r="D41" s="264"/>
      <c r="E41" s="264"/>
      <c r="F41" s="264"/>
      <c r="G41" s="224">
        <f>'kosztorys podypl.'!G41</f>
        <v>0</v>
      </c>
      <c r="H41" s="224">
        <f>'kosztorys podypl.'!H41</f>
        <v>0</v>
      </c>
      <c r="I41" s="225">
        <f>'kosztorys podypl.'!I41</f>
        <v>50</v>
      </c>
      <c r="J41" s="32"/>
      <c r="K41" s="5">
        <f t="shared" si="0"/>
        <v>0</v>
      </c>
      <c r="L41" s="40">
        <f>ROUND((G41*Arkusz1!C6)+(H41*I41),2)</f>
        <v>0</v>
      </c>
      <c r="M41" s="230"/>
      <c r="N41" s="54"/>
      <c r="O41" s="54"/>
      <c r="P41" s="54"/>
      <c r="Q41" s="54"/>
      <c r="R41" s="54"/>
    </row>
    <row r="42" spans="2:21" ht="18" hidden="1" customHeight="1" x14ac:dyDescent="0.2">
      <c r="B42" s="106"/>
      <c r="C42" s="264"/>
      <c r="D42" s="264"/>
      <c r="E42" s="264"/>
      <c r="F42" s="264"/>
      <c r="G42" s="170"/>
      <c r="H42" s="31"/>
      <c r="I42" s="141">
        <v>45</v>
      </c>
      <c r="J42" s="32"/>
      <c r="K42" s="5">
        <f t="shared" si="0"/>
        <v>0</v>
      </c>
      <c r="L42" s="40">
        <f>ROUND((G42*Arkusz1!C7)+(H42*I42),2)</f>
        <v>0</v>
      </c>
      <c r="M42" s="230"/>
      <c r="N42" s="54"/>
      <c r="O42" s="54"/>
      <c r="P42" s="54"/>
      <c r="Q42" s="54"/>
      <c r="R42" s="54"/>
    </row>
    <row r="43" spans="2:21" ht="18" hidden="1" customHeight="1" x14ac:dyDescent="0.2">
      <c r="B43" s="106"/>
      <c r="C43" s="264"/>
      <c r="D43" s="264"/>
      <c r="E43" s="264"/>
      <c r="F43" s="264"/>
      <c r="G43" s="170"/>
      <c r="H43" s="31"/>
      <c r="I43" s="141">
        <v>45</v>
      </c>
      <c r="J43" s="80"/>
      <c r="K43" s="5">
        <f t="shared" si="0"/>
        <v>0</v>
      </c>
      <c r="L43" s="40">
        <f>ROUND((G43*Arkusz1!C8)+(H43*I43),2)</f>
        <v>0</v>
      </c>
      <c r="M43" s="230"/>
      <c r="N43" s="54"/>
      <c r="O43" s="54"/>
      <c r="P43" s="54"/>
      <c r="Q43" s="54"/>
      <c r="R43" s="54"/>
    </row>
    <row r="44" spans="2:21" ht="14.25" x14ac:dyDescent="0.2">
      <c r="B44" s="106"/>
      <c r="C44" s="80"/>
      <c r="D44" s="80"/>
      <c r="E44" s="80"/>
      <c r="F44" s="80"/>
      <c r="G44" s="80"/>
      <c r="H44" s="80"/>
      <c r="I44" s="80"/>
      <c r="J44" s="109" t="s">
        <v>40</v>
      </c>
      <c r="K44" s="110">
        <f>SUM(K37:K43)</f>
        <v>0</v>
      </c>
      <c r="L44" s="40">
        <f>SUM(L37:L43)</f>
        <v>0</v>
      </c>
      <c r="M44" s="40">
        <f>SUM(M37:M43)</f>
        <v>0</v>
      </c>
      <c r="N44" s="54"/>
      <c r="O44" s="51"/>
      <c r="P44" s="54"/>
      <c r="Q44" s="54"/>
      <c r="R44" s="54"/>
    </row>
    <row r="45" spans="2:21" ht="18" customHeight="1" x14ac:dyDescent="0.2">
      <c r="B45" s="106"/>
      <c r="C45" s="244" t="s">
        <v>64</v>
      </c>
      <c r="D45" s="245"/>
      <c r="E45" s="211">
        <f>19.64%+0.36%</f>
        <v>0.2</v>
      </c>
      <c r="F45" s="273" t="s">
        <v>63</v>
      </c>
      <c r="G45" s="246"/>
      <c r="H45" s="246"/>
      <c r="I45" s="246"/>
      <c r="J45" s="246"/>
      <c r="K45" s="110"/>
      <c r="L45" s="40">
        <f>ROUND(L44*E45,0)</f>
        <v>0</v>
      </c>
      <c r="M45" s="230"/>
      <c r="N45" s="54"/>
      <c r="O45" s="54"/>
      <c r="P45" s="54"/>
      <c r="Q45" s="54"/>
      <c r="R45" s="54"/>
    </row>
    <row r="46" spans="2:21" ht="15" x14ac:dyDescent="0.2">
      <c r="B46" s="106"/>
      <c r="C46" s="112"/>
      <c r="D46" s="112"/>
      <c r="E46" s="112"/>
      <c r="F46" s="112"/>
      <c r="G46" s="112"/>
      <c r="H46" s="112"/>
      <c r="I46" s="112"/>
      <c r="J46" s="113"/>
      <c r="K46" s="113"/>
      <c r="L46" s="114"/>
      <c r="M46" s="114"/>
      <c r="N46" s="54"/>
      <c r="O46" s="51"/>
      <c r="P46" s="54"/>
      <c r="Q46" s="54"/>
      <c r="R46" s="54"/>
    </row>
    <row r="47" spans="2:21" ht="14.25" x14ac:dyDescent="0.2">
      <c r="B47" s="106"/>
      <c r="C47" s="115" t="s">
        <v>121</v>
      </c>
      <c r="D47" s="116" t="s">
        <v>200</v>
      </c>
      <c r="E47" s="116"/>
      <c r="F47" s="116"/>
      <c r="G47" s="116"/>
      <c r="H47" s="116"/>
      <c r="I47" s="116"/>
      <c r="J47" s="116"/>
      <c r="K47" s="116"/>
      <c r="L47" s="117"/>
      <c r="M47" s="117"/>
      <c r="N47" s="54"/>
      <c r="O47" s="54"/>
      <c r="P47" s="54"/>
      <c r="Q47" s="54"/>
      <c r="R47" s="54"/>
    </row>
    <row r="48" spans="2:21" ht="14.25" x14ac:dyDescent="0.2">
      <c r="B48" s="106"/>
      <c r="C48" s="108"/>
      <c r="D48" s="80"/>
      <c r="E48" s="80"/>
      <c r="F48" s="80"/>
      <c r="G48" s="80"/>
      <c r="H48" s="80"/>
      <c r="I48" s="68"/>
      <c r="J48" s="80"/>
      <c r="K48" s="80"/>
      <c r="L48" s="35"/>
      <c r="M48" s="35"/>
      <c r="N48" s="54"/>
      <c r="O48" s="54"/>
      <c r="P48" s="54"/>
      <c r="Q48" s="54"/>
      <c r="R48" s="54"/>
    </row>
    <row r="49" spans="2:39" ht="18" customHeight="1" x14ac:dyDescent="0.2">
      <c r="B49" s="83"/>
      <c r="C49" s="80"/>
      <c r="D49" s="80"/>
      <c r="E49" s="80"/>
      <c r="F49" s="274" t="s">
        <v>38</v>
      </c>
      <c r="G49" s="274"/>
      <c r="H49" s="274" t="s">
        <v>39</v>
      </c>
      <c r="I49" s="274"/>
      <c r="J49" s="80"/>
      <c r="K49" s="80"/>
      <c r="L49" s="35"/>
      <c r="M49" s="35"/>
      <c r="N49" s="54"/>
      <c r="O49" s="54"/>
      <c r="P49" s="54"/>
      <c r="Q49" s="54"/>
      <c r="R49" s="54"/>
    </row>
    <row r="50" spans="2:39" ht="18" customHeight="1" x14ac:dyDescent="0.2">
      <c r="B50" s="83"/>
      <c r="C50" s="270" t="s">
        <v>56</v>
      </c>
      <c r="D50" s="271"/>
      <c r="E50" s="272"/>
      <c r="F50" s="118" t="s">
        <v>41</v>
      </c>
      <c r="G50" s="119" t="s">
        <v>42</v>
      </c>
      <c r="H50" s="118" t="s">
        <v>41</v>
      </c>
      <c r="I50" s="118" t="s">
        <v>42</v>
      </c>
      <c r="J50" s="80"/>
      <c r="K50" s="80"/>
      <c r="L50" s="35"/>
      <c r="M50" s="35"/>
      <c r="N50" s="54"/>
      <c r="O50" s="51"/>
      <c r="P50" s="54"/>
      <c r="Q50" s="54"/>
      <c r="R50" s="54"/>
    </row>
    <row r="51" spans="2:39" ht="18" customHeight="1" x14ac:dyDescent="0.2">
      <c r="B51" s="83"/>
      <c r="C51" s="241" t="s">
        <v>65</v>
      </c>
      <c r="D51" s="242"/>
      <c r="E51" s="243"/>
      <c r="F51" s="220"/>
      <c r="G51" s="221">
        <f>'kosztorys podypl.'!G51</f>
        <v>0</v>
      </c>
      <c r="H51" s="222"/>
      <c r="I51" s="223">
        <f>'kosztorys podypl.'!I51</f>
        <v>110</v>
      </c>
      <c r="J51" s="80"/>
      <c r="K51" s="80"/>
      <c r="L51" s="40">
        <f>F51*H51+G51*I51</f>
        <v>0</v>
      </c>
      <c r="M51" s="230"/>
      <c r="N51" s="54"/>
      <c r="O51" s="54"/>
      <c r="P51" s="54"/>
      <c r="Q51" s="54"/>
      <c r="R51" s="54"/>
    </row>
    <row r="52" spans="2:39" ht="18" customHeight="1" x14ac:dyDescent="0.2">
      <c r="B52" s="83"/>
      <c r="C52" s="241" t="s">
        <v>45</v>
      </c>
      <c r="D52" s="242"/>
      <c r="E52" s="243"/>
      <c r="F52" s="220"/>
      <c r="G52" s="221">
        <f>'kosztorys podypl.'!G52</f>
        <v>0</v>
      </c>
      <c r="H52" s="222"/>
      <c r="I52" s="223">
        <f>'kosztorys podypl.'!I52</f>
        <v>100</v>
      </c>
      <c r="J52" s="80"/>
      <c r="K52" s="80"/>
      <c r="L52" s="40">
        <f>F52*H52+G52*I52</f>
        <v>0</v>
      </c>
      <c r="M52" s="230"/>
      <c r="N52" s="54"/>
      <c r="O52" s="54"/>
      <c r="P52" s="54"/>
      <c r="Q52" s="54"/>
      <c r="R52" s="54"/>
    </row>
    <row r="53" spans="2:39" ht="18" customHeight="1" x14ac:dyDescent="0.2">
      <c r="B53" s="83"/>
      <c r="C53" s="241" t="s">
        <v>46</v>
      </c>
      <c r="D53" s="242"/>
      <c r="E53" s="243"/>
      <c r="F53" s="221">
        <f>'kosztorys podypl.'!F53</f>
        <v>0</v>
      </c>
      <c r="G53" s="221">
        <f>'kosztorys podypl.'!G53</f>
        <v>0</v>
      </c>
      <c r="H53" s="223">
        <f>'kosztorys podypl.'!H53</f>
        <v>80</v>
      </c>
      <c r="I53" s="223">
        <f>'kosztorys podypl.'!I53</f>
        <v>80</v>
      </c>
      <c r="J53" s="80"/>
      <c r="K53" s="80"/>
      <c r="L53" s="40">
        <f>F53*H53+G53*I53</f>
        <v>0</v>
      </c>
      <c r="M53" s="230"/>
      <c r="N53" s="54"/>
      <c r="O53" s="54"/>
      <c r="P53" s="54"/>
      <c r="Q53" s="54"/>
      <c r="R53" s="54"/>
    </row>
    <row r="54" spans="2:39" ht="18" customHeight="1" x14ac:dyDescent="0.2">
      <c r="B54" s="83"/>
      <c r="C54" s="241" t="s">
        <v>47</v>
      </c>
      <c r="D54" s="242"/>
      <c r="E54" s="243"/>
      <c r="F54" s="221">
        <f>'kosztorys podypl.'!F54</f>
        <v>0</v>
      </c>
      <c r="G54" s="221">
        <f>'kosztorys podypl.'!G54</f>
        <v>0</v>
      </c>
      <c r="H54" s="223">
        <f>'kosztorys podypl.'!H54</f>
        <v>60</v>
      </c>
      <c r="I54" s="223">
        <f>'kosztorys podypl.'!I54</f>
        <v>60</v>
      </c>
      <c r="J54" s="80"/>
      <c r="K54" s="80"/>
      <c r="L54" s="40">
        <f>F54*H54+G54*I54</f>
        <v>0</v>
      </c>
      <c r="M54" s="230"/>
      <c r="N54" s="54"/>
      <c r="O54" s="54"/>
      <c r="P54" s="54"/>
      <c r="Q54" s="54"/>
      <c r="R54" s="54"/>
    </row>
    <row r="55" spans="2:39" ht="20.100000000000001" customHeight="1" x14ac:dyDescent="0.2">
      <c r="B55" s="83"/>
      <c r="C55" s="80"/>
      <c r="D55" s="80"/>
      <c r="E55" s="80"/>
      <c r="F55" s="80"/>
      <c r="G55" s="80"/>
      <c r="H55" s="80"/>
      <c r="I55" s="80"/>
      <c r="J55" s="109" t="s">
        <v>40</v>
      </c>
      <c r="K55" s="109"/>
      <c r="L55" s="40">
        <f>SUM(L51:L54)</f>
        <v>0</v>
      </c>
      <c r="M55" s="40">
        <f>SUM(M51:M54)</f>
        <v>0</v>
      </c>
      <c r="O55" s="54"/>
    </row>
    <row r="56" spans="2:39" ht="18" customHeight="1" x14ac:dyDescent="0.2">
      <c r="B56" s="83"/>
      <c r="C56" s="244" t="s">
        <v>66</v>
      </c>
      <c r="D56" s="245"/>
      <c r="E56" s="33">
        <f>E45</f>
        <v>0.2</v>
      </c>
      <c r="F56" s="246" t="s">
        <v>43</v>
      </c>
      <c r="G56" s="246"/>
      <c r="H56" s="246"/>
      <c r="I56" s="246"/>
      <c r="J56" s="246"/>
      <c r="K56" s="167"/>
      <c r="L56" s="40">
        <f>ROUND((F51*H51+F52*H52+F53*H53+F54*H54)*E56,0)</f>
        <v>0</v>
      </c>
      <c r="M56" s="230"/>
    </row>
    <row r="57" spans="2:39" ht="14.25" x14ac:dyDescent="0.2">
      <c r="B57" s="106"/>
      <c r="C57" s="120"/>
      <c r="D57" s="120"/>
      <c r="E57" s="120"/>
      <c r="F57" s="120"/>
      <c r="G57" s="120"/>
      <c r="H57" s="120"/>
      <c r="I57" s="120"/>
      <c r="J57" s="121"/>
      <c r="K57" s="121"/>
      <c r="L57" s="122"/>
      <c r="M57" s="122"/>
    </row>
    <row r="58" spans="2:39" ht="14.25" x14ac:dyDescent="0.2">
      <c r="B58" s="38"/>
      <c r="C58" s="123" t="s">
        <v>122</v>
      </c>
      <c r="D58" s="131" t="s">
        <v>198</v>
      </c>
      <c r="E58" s="131"/>
      <c r="F58" s="124"/>
      <c r="G58" s="124"/>
      <c r="H58" s="124"/>
      <c r="I58" s="124"/>
      <c r="J58" s="124"/>
      <c r="K58" s="124"/>
      <c r="L58" s="125"/>
      <c r="M58" s="125"/>
    </row>
    <row r="59" spans="2:39" ht="18" customHeight="1" x14ac:dyDescent="0.2">
      <c r="B59" s="38"/>
      <c r="C59" s="155" t="s">
        <v>44</v>
      </c>
      <c r="D59" s="279">
        <f>'kosztorys podypl.'!D59</f>
        <v>0</v>
      </c>
      <c r="E59" s="279"/>
      <c r="F59" s="97" t="s">
        <v>143</v>
      </c>
      <c r="G59" s="80"/>
      <c r="H59" s="80"/>
      <c r="I59" s="80"/>
      <c r="J59" s="80"/>
      <c r="K59" s="80"/>
      <c r="L59" s="40">
        <f>D59*F13</f>
        <v>0</v>
      </c>
      <c r="M59" s="40"/>
    </row>
    <row r="60" spans="2:39" ht="25.5" hidden="1" customHeight="1" x14ac:dyDescent="0.2">
      <c r="B60" s="38"/>
      <c r="C60" s="155" t="s">
        <v>124</v>
      </c>
      <c r="D60" s="157"/>
      <c r="E60" s="153" t="s">
        <v>125</v>
      </c>
      <c r="F60" s="158"/>
      <c r="G60" s="97" t="s">
        <v>126</v>
      </c>
      <c r="H60" s="97"/>
      <c r="I60" s="97"/>
      <c r="J60" s="97"/>
      <c r="K60" s="97"/>
      <c r="L60" s="156">
        <f>D60*F60</f>
        <v>0</v>
      </c>
      <c r="M60" s="156"/>
    </row>
    <row r="61" spans="2:39" ht="18" customHeight="1" x14ac:dyDescent="0.2">
      <c r="B61" s="38"/>
      <c r="C61" s="155" t="s">
        <v>124</v>
      </c>
      <c r="D61" s="248" t="s">
        <v>127</v>
      </c>
      <c r="E61" s="248"/>
      <c r="F61" s="159">
        <f>E45</f>
        <v>0.2</v>
      </c>
      <c r="G61" s="97" t="s">
        <v>128</v>
      </c>
      <c r="H61" s="97"/>
      <c r="I61" s="97"/>
      <c r="J61" s="97"/>
      <c r="K61" s="97"/>
      <c r="L61" s="40">
        <f>ROUND((L59+L60)*F61,0)</f>
        <v>0</v>
      </c>
      <c r="M61" s="40"/>
    </row>
    <row r="62" spans="2:39" ht="14.25" x14ac:dyDescent="0.2">
      <c r="B62" s="138"/>
      <c r="C62" s="126"/>
      <c r="D62" s="126"/>
      <c r="E62" s="126"/>
      <c r="F62" s="126"/>
      <c r="G62" s="126"/>
      <c r="H62" s="126"/>
      <c r="I62" s="126"/>
      <c r="J62" s="179"/>
      <c r="K62" s="179"/>
      <c r="L62" s="180"/>
      <c r="M62" s="180"/>
    </row>
    <row r="63" spans="2:39" ht="18" customHeight="1" x14ac:dyDescent="0.2">
      <c r="B63" s="181"/>
      <c r="C63" s="252" t="s">
        <v>144</v>
      </c>
      <c r="D63" s="131" t="s">
        <v>129</v>
      </c>
      <c r="E63" s="131"/>
      <c r="F63" s="131"/>
      <c r="G63" s="131"/>
      <c r="H63" s="182"/>
      <c r="I63" s="183"/>
      <c r="J63" s="183"/>
      <c r="K63" s="169"/>
      <c r="L63" s="40">
        <f>ROUND(((K44)/251*36),0)</f>
        <v>0</v>
      </c>
      <c r="M63" s="230"/>
      <c r="Y63" s="212"/>
      <c r="Z63" s="213"/>
      <c r="AA63" s="60"/>
      <c r="AG63" s="48"/>
      <c r="AH63" s="61"/>
      <c r="AJ63" s="48"/>
      <c r="AK63" s="48"/>
      <c r="AL63" s="48"/>
      <c r="AM63" s="48"/>
    </row>
    <row r="64" spans="2:39" ht="18" customHeight="1" x14ac:dyDescent="0.2">
      <c r="B64" s="128"/>
      <c r="C64" s="235"/>
      <c r="D64" s="120"/>
      <c r="E64" s="120"/>
      <c r="F64" s="120"/>
      <c r="G64" s="120"/>
      <c r="H64" s="120"/>
      <c r="I64" s="129" t="s">
        <v>66</v>
      </c>
      <c r="J64" s="33">
        <f>E45</f>
        <v>0.2</v>
      </c>
      <c r="K64" s="130"/>
      <c r="L64" s="40">
        <f>ROUND(L63*J64,0)</f>
        <v>0</v>
      </c>
      <c r="M64" s="230"/>
      <c r="Y64" s="60"/>
      <c r="Z64" s="60"/>
      <c r="AA64" s="60"/>
      <c r="AG64" s="48"/>
      <c r="AH64" s="61"/>
      <c r="AJ64" s="48"/>
      <c r="AK64" s="48"/>
      <c r="AL64" s="48"/>
      <c r="AM64" s="48"/>
    </row>
    <row r="65" spans="2:39" ht="16.5" customHeight="1" x14ac:dyDescent="0.2">
      <c r="B65" s="128"/>
      <c r="C65" s="252" t="s">
        <v>145</v>
      </c>
      <c r="D65" s="131" t="s">
        <v>132</v>
      </c>
      <c r="E65" s="131"/>
      <c r="F65" s="131"/>
      <c r="G65" s="131"/>
      <c r="H65" s="131"/>
      <c r="I65" s="131"/>
      <c r="J65" s="124"/>
      <c r="K65" s="169"/>
      <c r="L65" s="40">
        <f>ROUND((L44*8.5%),0)</f>
        <v>0</v>
      </c>
      <c r="M65" s="230"/>
      <c r="Y65" s="212"/>
      <c r="Z65" s="213"/>
      <c r="AA65" s="60"/>
      <c r="AG65" s="48"/>
      <c r="AH65" s="48"/>
      <c r="AI65" s="48"/>
      <c r="AJ65" s="48"/>
      <c r="AK65" s="48"/>
      <c r="AL65" s="48"/>
      <c r="AM65" s="48"/>
    </row>
    <row r="66" spans="2:39" ht="16.5" customHeight="1" x14ac:dyDescent="0.2">
      <c r="B66" s="128"/>
      <c r="C66" s="235"/>
      <c r="D66" s="120"/>
      <c r="E66" s="120"/>
      <c r="F66" s="120"/>
      <c r="G66" s="120"/>
      <c r="H66" s="120"/>
      <c r="I66" s="129" t="s">
        <v>66</v>
      </c>
      <c r="J66" s="33">
        <f>E45</f>
        <v>0.2</v>
      </c>
      <c r="K66" s="130"/>
      <c r="L66" s="40">
        <f>ROUND(L65*J66,0)</f>
        <v>0</v>
      </c>
      <c r="M66" s="230"/>
      <c r="Y66" s="212"/>
      <c r="Z66" s="213"/>
      <c r="AA66" s="60"/>
      <c r="AG66" s="48"/>
      <c r="AH66" s="48"/>
      <c r="AI66" s="48"/>
      <c r="AJ66" s="48"/>
      <c r="AK66" s="48"/>
      <c r="AL66" s="48"/>
      <c r="AM66" s="48"/>
    </row>
    <row r="67" spans="2:39" ht="16.5" customHeight="1" x14ac:dyDescent="0.2">
      <c r="B67" s="128"/>
      <c r="C67" s="252" t="s">
        <v>146</v>
      </c>
      <c r="D67" s="131" t="s">
        <v>135</v>
      </c>
      <c r="E67" s="131"/>
      <c r="F67" s="131"/>
      <c r="G67" s="131"/>
      <c r="H67" s="131"/>
      <c r="I67" s="131"/>
      <c r="J67" s="124"/>
      <c r="K67" s="169"/>
      <c r="L67" s="40">
        <f>ROUND(((L44)*2%),0)</f>
        <v>0</v>
      </c>
      <c r="M67" s="230"/>
      <c r="Y67" s="212"/>
      <c r="Z67" s="213"/>
      <c r="AA67" s="60"/>
    </row>
    <row r="68" spans="2:39" ht="16.5" customHeight="1" x14ac:dyDescent="0.2">
      <c r="B68" s="128"/>
      <c r="C68" s="235"/>
      <c r="D68" s="120"/>
      <c r="E68" s="120"/>
      <c r="F68" s="120"/>
      <c r="G68" s="120"/>
      <c r="H68" s="120"/>
      <c r="I68" s="129" t="s">
        <v>66</v>
      </c>
      <c r="J68" s="33">
        <f>E45</f>
        <v>0.2</v>
      </c>
      <c r="K68" s="130"/>
      <c r="L68" s="40">
        <f>ROUND(L67*J68,0)</f>
        <v>0</v>
      </c>
      <c r="M68" s="230"/>
      <c r="Y68" s="212"/>
      <c r="Z68" s="213"/>
      <c r="AA68" s="60"/>
    </row>
    <row r="69" spans="2:39" ht="9.75" customHeight="1" x14ac:dyDescent="0.2">
      <c r="B69" s="128"/>
      <c r="C69" s="252" t="s">
        <v>147</v>
      </c>
      <c r="D69" s="240" t="s">
        <v>35</v>
      </c>
      <c r="E69" s="240"/>
      <c r="F69" s="240"/>
      <c r="G69" s="240"/>
      <c r="H69" s="240"/>
      <c r="I69" s="240"/>
      <c r="J69" s="124"/>
      <c r="K69" s="169"/>
      <c r="L69" s="253">
        <f>ROUND((L44+L63+L67)*(100%-13.71%)*6.5%,0)</f>
        <v>0</v>
      </c>
      <c r="M69" s="275"/>
      <c r="Y69" s="212"/>
      <c r="Z69" s="213"/>
      <c r="AA69" s="60"/>
    </row>
    <row r="70" spans="2:39" ht="9" customHeight="1" x14ac:dyDescent="0.2">
      <c r="B70" s="128"/>
      <c r="C70" s="235"/>
      <c r="D70" s="237"/>
      <c r="E70" s="237"/>
      <c r="F70" s="237"/>
      <c r="G70" s="237"/>
      <c r="H70" s="237"/>
      <c r="I70" s="237"/>
      <c r="J70" s="126"/>
      <c r="K70" s="130"/>
      <c r="L70" s="254">
        <f>G70*100/115.8882</f>
        <v>0</v>
      </c>
      <c r="M70" s="276"/>
    </row>
    <row r="71" spans="2:39" ht="16.5" hidden="1" customHeight="1" x14ac:dyDescent="0.2">
      <c r="B71" s="132"/>
      <c r="C71" s="176" t="s">
        <v>148</v>
      </c>
      <c r="D71" s="236" t="s">
        <v>139</v>
      </c>
      <c r="E71" s="236"/>
      <c r="F71" s="120" t="s">
        <v>140</v>
      </c>
      <c r="G71" s="120"/>
      <c r="H71" s="120"/>
      <c r="I71" s="120"/>
      <c r="J71" s="178"/>
      <c r="K71" s="133"/>
      <c r="L71" s="40">
        <f>ROUND((L44+L45+L55+L56+L59+L61+L63+L64+L65+L66+L67+L68+L69+SUM(L75:L93))*J71,0)</f>
        <v>0</v>
      </c>
      <c r="M71" s="40"/>
    </row>
    <row r="72" spans="2:39" ht="3.75" customHeight="1" x14ac:dyDescent="0.2">
      <c r="B72" s="83"/>
      <c r="C72" s="174"/>
      <c r="D72" s="177"/>
      <c r="E72" s="177"/>
      <c r="F72" s="131"/>
      <c r="G72" s="131"/>
      <c r="H72" s="131"/>
      <c r="I72" s="131"/>
      <c r="J72" s="184"/>
      <c r="K72" s="185"/>
      <c r="L72" s="39"/>
      <c r="M72" s="39"/>
    </row>
    <row r="73" spans="2:39" ht="13.5" customHeight="1" x14ac:dyDescent="0.2">
      <c r="B73" s="38"/>
      <c r="C73" s="176" t="s">
        <v>148</v>
      </c>
      <c r="D73" s="97" t="s">
        <v>162</v>
      </c>
      <c r="E73" s="97"/>
      <c r="F73" s="97"/>
      <c r="G73" s="97"/>
      <c r="H73" s="97"/>
      <c r="I73" s="97"/>
      <c r="J73" s="97"/>
      <c r="K73" s="166"/>
      <c r="L73" s="156">
        <f>SUM(L75:L93)</f>
        <v>0</v>
      </c>
      <c r="M73" s="156">
        <f>SUM(M75:M93)</f>
        <v>0</v>
      </c>
    </row>
    <row r="74" spans="2:39" ht="6" customHeight="1" x14ac:dyDescent="0.2">
      <c r="B74" s="38"/>
      <c r="C74" s="176"/>
      <c r="D74" s="97"/>
      <c r="E74" s="97"/>
      <c r="F74" s="97"/>
      <c r="G74" s="97"/>
      <c r="H74" s="97"/>
      <c r="I74" s="97"/>
      <c r="J74" s="97"/>
      <c r="K74" s="166"/>
      <c r="L74" s="156"/>
      <c r="M74" s="156"/>
    </row>
    <row r="75" spans="2:39" ht="13.5" customHeight="1" x14ac:dyDescent="0.2">
      <c r="B75" s="134"/>
      <c r="C75" s="277" t="str">
        <f>IF('kosztorys podypl.'!C75=0,"",'kosztorys podypl.'!C75)</f>
        <v>Materiały dydaktyczne, materiały szkoleniowe, wycieczki dydaktyczne:</v>
      </c>
      <c r="D75" s="277"/>
      <c r="E75" s="277"/>
      <c r="F75" s="277"/>
      <c r="G75" s="277"/>
      <c r="H75" s="277"/>
      <c r="I75" s="277"/>
      <c r="J75" s="277"/>
      <c r="K75" s="216"/>
      <c r="L75" s="217">
        <f>'kosztorys podypl.'!L75</f>
        <v>0</v>
      </c>
      <c r="M75" s="148"/>
    </row>
    <row r="76" spans="2:39" ht="14.25" x14ac:dyDescent="0.2">
      <c r="B76" s="134"/>
      <c r="C76" s="277" t="str">
        <f>IF('kosztorys podypl.'!C76=0,"",'kosztorys podypl.'!C76)</f>
        <v/>
      </c>
      <c r="D76" s="277"/>
      <c r="E76" s="277"/>
      <c r="F76" s="277"/>
      <c r="G76" s="277"/>
      <c r="H76" s="277"/>
      <c r="I76" s="277"/>
      <c r="J76" s="277"/>
      <c r="K76" s="216"/>
      <c r="L76" s="217">
        <f>'kosztorys podypl.'!L76</f>
        <v>0</v>
      </c>
      <c r="M76" s="148"/>
    </row>
    <row r="77" spans="2:39" ht="14.25" x14ac:dyDescent="0.2">
      <c r="B77" s="134"/>
      <c r="C77" s="277" t="str">
        <f>IF('kosztorys podypl.'!C77=0,"",'kosztorys podypl.'!C77)</f>
        <v/>
      </c>
      <c r="D77" s="277"/>
      <c r="E77" s="277"/>
      <c r="F77" s="277"/>
      <c r="G77" s="277"/>
      <c r="H77" s="277"/>
      <c r="I77" s="277"/>
      <c r="J77" s="277"/>
      <c r="K77" s="216"/>
      <c r="L77" s="217">
        <f>'kosztorys podypl.'!L77</f>
        <v>0</v>
      </c>
      <c r="M77" s="148"/>
    </row>
    <row r="78" spans="2:39" ht="14.25" x14ac:dyDescent="0.2">
      <c r="B78" s="134"/>
      <c r="C78" s="277" t="str">
        <f>IF('kosztorys podypl.'!C78=0,"",'kosztorys podypl.'!C78)</f>
        <v/>
      </c>
      <c r="D78" s="277"/>
      <c r="E78" s="277"/>
      <c r="F78" s="277"/>
      <c r="G78" s="277"/>
      <c r="H78" s="277"/>
      <c r="I78" s="277"/>
      <c r="J78" s="277"/>
      <c r="K78" s="216"/>
      <c r="L78" s="217">
        <f>'kosztorys podypl.'!L78</f>
        <v>0</v>
      </c>
      <c r="M78" s="148"/>
    </row>
    <row r="79" spans="2:39" ht="14.25" x14ac:dyDescent="0.2">
      <c r="B79" s="134"/>
      <c r="C79" s="277" t="str">
        <f>IF('kosztorys podypl.'!C79=0,"",'kosztorys podypl.'!C79)</f>
        <v/>
      </c>
      <c r="D79" s="277"/>
      <c r="E79" s="277"/>
      <c r="F79" s="277"/>
      <c r="G79" s="277"/>
      <c r="H79" s="277"/>
      <c r="I79" s="277"/>
      <c r="J79" s="277"/>
      <c r="K79" s="216"/>
      <c r="L79" s="217">
        <f>'kosztorys podypl.'!L79</f>
        <v>0</v>
      </c>
      <c r="M79" s="148"/>
    </row>
    <row r="80" spans="2:39" ht="14.25" x14ac:dyDescent="0.2">
      <c r="B80" s="134"/>
      <c r="C80" s="277" t="str">
        <f>IF('kosztorys podypl.'!C80=0,"",'kosztorys podypl.'!C80)</f>
        <v/>
      </c>
      <c r="D80" s="277"/>
      <c r="E80" s="277"/>
      <c r="F80" s="277"/>
      <c r="G80" s="277"/>
      <c r="H80" s="277"/>
      <c r="I80" s="277"/>
      <c r="J80" s="277"/>
      <c r="K80" s="216"/>
      <c r="L80" s="217">
        <f>'kosztorys podypl.'!L80</f>
        <v>0</v>
      </c>
      <c r="M80" s="148"/>
    </row>
    <row r="81" spans="2:13" ht="14.25" x14ac:dyDescent="0.2">
      <c r="B81" s="134"/>
      <c r="C81" s="277" t="str">
        <f>IF('kosztorys podypl.'!C81=0,"",'kosztorys podypl.'!C81)</f>
        <v/>
      </c>
      <c r="D81" s="277"/>
      <c r="E81" s="277"/>
      <c r="F81" s="277"/>
      <c r="G81" s="277"/>
      <c r="H81" s="277"/>
      <c r="I81" s="277"/>
      <c r="J81" s="277"/>
      <c r="K81" s="216"/>
      <c r="L81" s="217">
        <f>'kosztorys podypl.'!L81</f>
        <v>0</v>
      </c>
      <c r="M81" s="148"/>
    </row>
    <row r="82" spans="2:13" ht="14.25" x14ac:dyDescent="0.2">
      <c r="B82" s="134"/>
      <c r="C82" s="277" t="str">
        <f>IF('kosztorys podypl.'!C82=0,"",'kosztorys podypl.'!C82)</f>
        <v/>
      </c>
      <c r="D82" s="277"/>
      <c r="E82" s="277"/>
      <c r="F82" s="277"/>
      <c r="G82" s="277"/>
      <c r="H82" s="277"/>
      <c r="I82" s="277"/>
      <c r="J82" s="277"/>
      <c r="K82" s="216"/>
      <c r="L82" s="217">
        <f>'kosztorys podypl.'!L82</f>
        <v>0</v>
      </c>
      <c r="M82" s="148"/>
    </row>
    <row r="83" spans="2:13" ht="14.25" x14ac:dyDescent="0.2">
      <c r="B83" s="134"/>
      <c r="C83" s="277" t="str">
        <f>IF('kosztorys podypl.'!C83=0,"",'kosztorys podypl.'!C83)</f>
        <v/>
      </c>
      <c r="D83" s="277"/>
      <c r="E83" s="277"/>
      <c r="F83" s="277"/>
      <c r="G83" s="277"/>
      <c r="H83" s="277"/>
      <c r="I83" s="277"/>
      <c r="J83" s="277"/>
      <c r="K83" s="216"/>
      <c r="L83" s="217">
        <f>'kosztorys podypl.'!L83</f>
        <v>0</v>
      </c>
      <c r="M83" s="148"/>
    </row>
    <row r="84" spans="2:13" ht="14.25" x14ac:dyDescent="0.2">
      <c r="B84" s="134"/>
      <c r="C84" s="277" t="str">
        <f>IF('kosztorys podypl.'!C84=0,"",'kosztorys podypl.'!C84)</f>
        <v/>
      </c>
      <c r="D84" s="277"/>
      <c r="E84" s="277"/>
      <c r="F84" s="277"/>
      <c r="G84" s="277"/>
      <c r="H84" s="277"/>
      <c r="I84" s="277"/>
      <c r="J84" s="277"/>
      <c r="K84" s="216"/>
      <c r="L84" s="217">
        <f>'kosztorys podypl.'!L84</f>
        <v>0</v>
      </c>
      <c r="M84" s="148"/>
    </row>
    <row r="85" spans="2:13" ht="14.25" x14ac:dyDescent="0.2">
      <c r="B85" s="134"/>
      <c r="C85" s="277" t="str">
        <f>IF('kosztorys podypl.'!C85=0,"",'kosztorys podypl.'!C85)</f>
        <v/>
      </c>
      <c r="D85" s="277"/>
      <c r="E85" s="277"/>
      <c r="F85" s="277"/>
      <c r="G85" s="277"/>
      <c r="H85" s="277"/>
      <c r="I85" s="277"/>
      <c r="J85" s="277"/>
      <c r="K85" s="216"/>
      <c r="L85" s="217">
        <f>'kosztorys podypl.'!L85</f>
        <v>0</v>
      </c>
      <c r="M85" s="148"/>
    </row>
    <row r="86" spans="2:13" ht="14.25" x14ac:dyDescent="0.2">
      <c r="B86" s="134"/>
      <c r="C86" s="277" t="str">
        <f>IF('kosztorys podypl.'!C86=0,"",'kosztorys podypl.'!C86)</f>
        <v/>
      </c>
      <c r="D86" s="277"/>
      <c r="E86" s="277"/>
      <c r="F86" s="277"/>
      <c r="G86" s="277"/>
      <c r="H86" s="277"/>
      <c r="I86" s="277"/>
      <c r="J86" s="277"/>
      <c r="K86" s="216"/>
      <c r="L86" s="217">
        <f>'kosztorys podypl.'!L86</f>
        <v>0</v>
      </c>
      <c r="M86" s="148"/>
    </row>
    <row r="87" spans="2:13" ht="14.25" x14ac:dyDescent="0.2">
      <c r="B87" s="134"/>
      <c r="C87" s="277" t="str">
        <f>IF('kosztorys podypl.'!C87=0,"",'kosztorys podypl.'!C87)</f>
        <v/>
      </c>
      <c r="D87" s="277"/>
      <c r="E87" s="277"/>
      <c r="F87" s="277"/>
      <c r="G87" s="277"/>
      <c r="H87" s="277"/>
      <c r="I87" s="277"/>
      <c r="J87" s="277"/>
      <c r="K87" s="216"/>
      <c r="L87" s="217">
        <f>'kosztorys podypl.'!L87</f>
        <v>0</v>
      </c>
      <c r="M87" s="148"/>
    </row>
    <row r="88" spans="2:13" ht="14.25" x14ac:dyDescent="0.2">
      <c r="B88" s="134"/>
      <c r="C88" s="277" t="str">
        <f>IF('kosztorys podypl.'!C88=0,"",'kosztorys podypl.'!C88)</f>
        <v/>
      </c>
      <c r="D88" s="277"/>
      <c r="E88" s="277"/>
      <c r="F88" s="277"/>
      <c r="G88" s="277"/>
      <c r="H88" s="277"/>
      <c r="I88" s="277"/>
      <c r="J88" s="277"/>
      <c r="K88" s="216"/>
      <c r="L88" s="217">
        <f>'kosztorys podypl.'!L88</f>
        <v>0</v>
      </c>
      <c r="M88" s="148"/>
    </row>
    <row r="89" spans="2:13" ht="14.25" x14ac:dyDescent="0.2">
      <c r="B89" s="134"/>
      <c r="C89" s="277" t="str">
        <f>IF('kosztorys podypl.'!C89=0,"",'kosztorys podypl.'!C89)</f>
        <v/>
      </c>
      <c r="D89" s="277"/>
      <c r="E89" s="277"/>
      <c r="F89" s="277"/>
      <c r="G89" s="277"/>
      <c r="H89" s="277"/>
      <c r="I89" s="277"/>
      <c r="J89" s="277"/>
      <c r="K89" s="216"/>
      <c r="L89" s="217">
        <f>'kosztorys podypl.'!L89</f>
        <v>0</v>
      </c>
      <c r="M89" s="148"/>
    </row>
    <row r="90" spans="2:13" ht="14.25" x14ac:dyDescent="0.2">
      <c r="B90" s="134"/>
      <c r="C90" s="277" t="str">
        <f>IF('kosztorys podypl.'!C90=0,"",'kosztorys podypl.'!C90)</f>
        <v/>
      </c>
      <c r="D90" s="277"/>
      <c r="E90" s="277"/>
      <c r="F90" s="277"/>
      <c r="G90" s="277"/>
      <c r="H90" s="277"/>
      <c r="I90" s="277"/>
      <c r="J90" s="277"/>
      <c r="K90" s="216"/>
      <c r="L90" s="217">
        <f>'kosztorys podypl.'!L90</f>
        <v>0</v>
      </c>
      <c r="M90" s="148"/>
    </row>
    <row r="91" spans="2:13" ht="14.25" x14ac:dyDescent="0.2">
      <c r="B91" s="134"/>
      <c r="C91" s="277" t="str">
        <f>IF('kosztorys podypl.'!C91=0,"",'kosztorys podypl.'!C91)</f>
        <v/>
      </c>
      <c r="D91" s="277"/>
      <c r="E91" s="277"/>
      <c r="F91" s="277"/>
      <c r="G91" s="277"/>
      <c r="H91" s="277"/>
      <c r="I91" s="277"/>
      <c r="J91" s="277"/>
      <c r="K91" s="216"/>
      <c r="L91" s="217">
        <f>'kosztorys podypl.'!L91</f>
        <v>0</v>
      </c>
      <c r="M91" s="148"/>
    </row>
    <row r="92" spans="2:13" ht="14.25" x14ac:dyDescent="0.2">
      <c r="B92" s="134"/>
      <c r="C92" s="277" t="str">
        <f>IF('kosztorys podypl.'!C92=0,"",'kosztorys podypl.'!C92)</f>
        <v/>
      </c>
      <c r="D92" s="277"/>
      <c r="E92" s="277"/>
      <c r="F92" s="277"/>
      <c r="G92" s="277"/>
      <c r="H92" s="277"/>
      <c r="I92" s="277"/>
      <c r="J92" s="277"/>
      <c r="K92" s="216"/>
      <c r="L92" s="217">
        <f>'kosztorys podypl.'!L92</f>
        <v>0</v>
      </c>
      <c r="M92" s="148"/>
    </row>
    <row r="93" spans="2:13" ht="14.25" x14ac:dyDescent="0.2">
      <c r="B93" s="134"/>
      <c r="C93" s="278" t="str">
        <f>IF('kosztorys podypl.'!C93=0,"",'kosztorys podypl.'!C93)</f>
        <v/>
      </c>
      <c r="D93" s="278"/>
      <c r="E93" s="278"/>
      <c r="F93" s="278"/>
      <c r="G93" s="278"/>
      <c r="H93" s="278"/>
      <c r="I93" s="278"/>
      <c r="J93" s="278"/>
      <c r="K93" s="218"/>
      <c r="L93" s="219">
        <f>'kosztorys podypl.'!L93</f>
        <v>0</v>
      </c>
      <c r="M93" s="198"/>
    </row>
    <row r="94" spans="2:13" ht="18" customHeight="1" x14ac:dyDescent="0.2">
      <c r="B94" s="83"/>
      <c r="C94" s="80"/>
      <c r="D94" s="80"/>
      <c r="E94" s="80"/>
      <c r="F94" s="80"/>
      <c r="G94" s="80"/>
      <c r="H94" s="80"/>
      <c r="I94" s="80"/>
      <c r="J94" s="194"/>
      <c r="K94" s="194"/>
      <c r="L94" s="135"/>
      <c r="M94" s="135"/>
    </row>
    <row r="95" spans="2:13" ht="15" x14ac:dyDescent="0.2">
      <c r="B95" s="134"/>
      <c r="C95" s="234" t="s">
        <v>149</v>
      </c>
      <c r="D95" s="236" t="s">
        <v>139</v>
      </c>
      <c r="E95" s="236"/>
      <c r="F95" s="120" t="s">
        <v>140</v>
      </c>
      <c r="G95" s="120"/>
      <c r="H95" s="120"/>
      <c r="I95" s="120"/>
      <c r="J95" s="178">
        <f>'kosztorys podypl.'!J95</f>
        <v>0</v>
      </c>
      <c r="K95" s="178"/>
      <c r="L95" s="40">
        <f>ROUND(J95*(L44+L45+L55+L56+L59+L61+L63+L64+L65+L66+L67+L68+L69+L73),0)</f>
        <v>0</v>
      </c>
      <c r="M95" s="230"/>
    </row>
    <row r="96" spans="2:13" ht="15" x14ac:dyDescent="0.2">
      <c r="B96" s="134"/>
      <c r="C96" s="235"/>
      <c r="D96" s="237"/>
      <c r="E96" s="237"/>
      <c r="F96" s="120" t="s">
        <v>165</v>
      </c>
      <c r="G96" s="120"/>
      <c r="H96" s="120"/>
      <c r="I96" s="120"/>
      <c r="J96" s="178">
        <f>'kosztorys podypl.'!J96</f>
        <v>0</v>
      </c>
      <c r="K96" s="178"/>
      <c r="L96" s="40">
        <f>ROUND(J96*(L44+L45+L55+L56+L59+L61+L63+L64+L65+L66+L67+L68+L69+L73+L95),0)</f>
        <v>0</v>
      </c>
      <c r="M96" s="230"/>
    </row>
    <row r="97" spans="2:13" ht="18" customHeight="1" x14ac:dyDescent="0.2">
      <c r="B97" s="199"/>
      <c r="C97" s="200"/>
      <c r="D97" s="200"/>
      <c r="E97" s="200"/>
      <c r="F97" s="201"/>
      <c r="G97" s="201"/>
      <c r="H97" s="201"/>
      <c r="I97" s="201"/>
      <c r="J97" s="202"/>
      <c r="K97" s="202"/>
      <c r="L97" s="127"/>
      <c r="M97" s="127"/>
    </row>
    <row r="98" spans="2:13" ht="18" customHeight="1" x14ac:dyDescent="0.2">
      <c r="B98" s="83"/>
      <c r="C98" s="97"/>
      <c r="D98" s="97"/>
      <c r="E98" s="97"/>
      <c r="F98" s="80"/>
      <c r="G98" s="80"/>
      <c r="H98" s="80"/>
      <c r="I98" s="80"/>
      <c r="J98" s="194"/>
      <c r="K98" s="194"/>
      <c r="L98" s="135"/>
      <c r="M98" s="135"/>
    </row>
    <row r="99" spans="2:13" ht="15" x14ac:dyDescent="0.25">
      <c r="B99" s="101"/>
      <c r="C99" s="80"/>
      <c r="D99" s="80"/>
      <c r="E99" s="80"/>
      <c r="F99" s="80"/>
      <c r="G99" s="80"/>
      <c r="H99" s="80"/>
      <c r="I99" s="80"/>
      <c r="J99" s="77" t="s">
        <v>208</v>
      </c>
      <c r="K99" s="77"/>
      <c r="L99" s="30">
        <f>L44+L45+L55+L56+L59+L60+L61+L63+L64+L65+L66+L67+L68+L69+L71+L73+L95+L96</f>
        <v>0</v>
      </c>
      <c r="M99" s="30">
        <f>M44+M45+M55+M56+M59+M60+M61+M63+M64+M65+M66+M67+M68+M69+M71+M73+M95+M96</f>
        <v>0</v>
      </c>
    </row>
    <row r="100" spans="2:13" ht="15" thickBot="1" x14ac:dyDescent="0.25">
      <c r="B100" s="102"/>
      <c r="C100" s="206"/>
      <c r="D100" s="103"/>
      <c r="E100" s="103"/>
      <c r="F100" s="103"/>
      <c r="G100" s="103"/>
      <c r="H100" s="103"/>
      <c r="I100" s="103"/>
      <c r="J100" s="103"/>
      <c r="K100" s="103"/>
      <c r="L100" s="195"/>
      <c r="M100" s="195"/>
    </row>
    <row r="101" spans="2:13" s="44" customFormat="1" ht="18.75" customHeight="1" thickTop="1" thickBot="1" x14ac:dyDescent="0.25">
      <c r="B101" s="88" t="s">
        <v>199</v>
      </c>
      <c r="C101" s="89"/>
      <c r="D101" s="89"/>
      <c r="E101" s="89"/>
      <c r="F101" s="89"/>
      <c r="G101" s="89"/>
      <c r="H101" s="89"/>
      <c r="I101" s="89"/>
      <c r="J101" s="89"/>
      <c r="K101" s="89"/>
      <c r="L101" s="136">
        <f>L30-L99</f>
        <v>0</v>
      </c>
      <c r="M101" s="136">
        <f>M30-M99</f>
        <v>0</v>
      </c>
    </row>
    <row r="102" spans="2:13" ht="15" thickTop="1" x14ac:dyDescent="0.2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</row>
    <row r="103" spans="2:13" ht="14.25" x14ac:dyDescent="0.2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</row>
    <row r="104" spans="2:13" ht="14.25" x14ac:dyDescent="0.2">
      <c r="B104" s="68"/>
      <c r="C104" s="137"/>
      <c r="D104" s="137"/>
      <c r="E104" s="137"/>
      <c r="F104" s="80"/>
      <c r="G104" s="80"/>
      <c r="H104" s="80"/>
      <c r="I104" s="80"/>
      <c r="J104" s="80"/>
      <c r="K104" s="80"/>
      <c r="L104" s="150"/>
      <c r="M104" s="150"/>
    </row>
    <row r="105" spans="2:13" ht="14.25" x14ac:dyDescent="0.2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</row>
    <row r="106" spans="2:13" ht="14.25" x14ac:dyDescent="0.2">
      <c r="B106" s="126"/>
      <c r="C106" s="126"/>
      <c r="D106" s="126"/>
      <c r="E106" s="126"/>
      <c r="F106" s="80"/>
      <c r="G106" s="80"/>
      <c r="H106" s="80"/>
      <c r="I106" s="80"/>
      <c r="J106" s="126"/>
      <c r="K106" s="126"/>
      <c r="L106" s="126"/>
      <c r="M106" s="126"/>
    </row>
    <row r="107" spans="2:13" ht="14.25" customHeight="1" x14ac:dyDescent="0.2">
      <c r="B107" s="250" t="s">
        <v>141</v>
      </c>
      <c r="C107" s="250"/>
      <c r="D107" s="250"/>
      <c r="E107" s="250"/>
      <c r="F107" s="139"/>
      <c r="G107" s="139"/>
      <c r="H107" s="139"/>
      <c r="I107" s="139"/>
      <c r="J107" s="247" t="s">
        <v>211</v>
      </c>
      <c r="K107" s="247"/>
      <c r="L107" s="247"/>
      <c r="M107" s="247"/>
    </row>
    <row r="108" spans="2:13" ht="14.25" customHeight="1" x14ac:dyDescent="0.2">
      <c r="B108" s="251" t="s">
        <v>212</v>
      </c>
      <c r="C108" s="251"/>
      <c r="D108" s="251"/>
      <c r="E108" s="251"/>
      <c r="F108" s="80"/>
      <c r="G108" s="80"/>
      <c r="H108" s="80"/>
      <c r="I108" s="80"/>
      <c r="J108" s="233" t="s">
        <v>213</v>
      </c>
      <c r="K108" s="233"/>
      <c r="L108" s="233"/>
      <c r="M108" s="233"/>
    </row>
    <row r="109" spans="2:13" ht="14.25" x14ac:dyDescent="0.2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</row>
    <row r="110" spans="2:13" ht="14.25" x14ac:dyDescent="0.2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</row>
    <row r="111" spans="2:13" ht="14.25" x14ac:dyDescent="0.2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</row>
    <row r="112" spans="2:13" ht="14.25" x14ac:dyDescent="0.2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</row>
    <row r="113" spans="2:13" ht="14.25" x14ac:dyDescent="0.2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</row>
    <row r="114" spans="2:13" ht="14.25" x14ac:dyDescent="0.2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</row>
    <row r="115" spans="2:13" ht="14.25" x14ac:dyDescent="0.2">
      <c r="B115" s="126"/>
      <c r="C115" s="126"/>
      <c r="D115" s="126"/>
      <c r="E115" s="126"/>
      <c r="F115" s="80"/>
      <c r="G115" s="80"/>
      <c r="H115" s="80"/>
      <c r="I115" s="80"/>
      <c r="J115" s="126"/>
      <c r="K115" s="126"/>
      <c r="L115" s="126"/>
      <c r="M115" s="126"/>
    </row>
    <row r="116" spans="2:13" ht="14.25" x14ac:dyDescent="0.2">
      <c r="B116" s="247" t="s">
        <v>214</v>
      </c>
      <c r="C116" s="247"/>
      <c r="D116" s="247"/>
      <c r="E116" s="247"/>
      <c r="F116" s="139"/>
      <c r="G116" s="139"/>
      <c r="H116" s="139"/>
      <c r="I116" s="139"/>
      <c r="J116" s="247" t="s">
        <v>191</v>
      </c>
      <c r="K116" s="247"/>
      <c r="L116" s="247"/>
      <c r="M116" s="247"/>
    </row>
    <row r="117" spans="2:13" ht="14.25" x14ac:dyDescent="0.2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</row>
    <row r="118" spans="2:13" ht="240.75" customHeight="1" x14ac:dyDescent="0.2"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2:13" ht="14.25" x14ac:dyDescent="0.2"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2:13" ht="14.25" x14ac:dyDescent="0.2"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2:13" ht="14.25" x14ac:dyDescent="0.2"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2:13" ht="14.25" x14ac:dyDescent="0.2"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2:13" ht="14.25" x14ac:dyDescent="0.2"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2:13" ht="14.25" x14ac:dyDescent="0.2"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2:13" ht="14.25" x14ac:dyDescent="0.2"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2:13" ht="14.25" x14ac:dyDescent="0.2"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2:13" ht="14.25" x14ac:dyDescent="0.2"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2:13" ht="14.25" x14ac:dyDescent="0.2"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2:13" ht="14.25" x14ac:dyDescent="0.2"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2:13" ht="14.25" x14ac:dyDescent="0.2"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2:13" ht="14.25" x14ac:dyDescent="0.2"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2:13" ht="14.25" x14ac:dyDescent="0.2"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2:13" ht="14.25" x14ac:dyDescent="0.2"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2:13" ht="14.25" x14ac:dyDescent="0.2"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2:13" ht="14.25" x14ac:dyDescent="0.2"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2:13" ht="14.25" x14ac:dyDescent="0.2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2:13" ht="14.25" x14ac:dyDescent="0.2"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2:13" ht="14.25" x14ac:dyDescent="0.2"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2:13" ht="14.25" x14ac:dyDescent="0.2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2:13" ht="14.25" x14ac:dyDescent="0.2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2:13" ht="14.25" x14ac:dyDescent="0.2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2:13" ht="14.25" x14ac:dyDescent="0.2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2:13" ht="14.25" x14ac:dyDescent="0.2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2:13" ht="14.25" x14ac:dyDescent="0.2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2:13" ht="14.25" x14ac:dyDescent="0.2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2:13" ht="14.25" x14ac:dyDescent="0.2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2:13" ht="14.25" x14ac:dyDescent="0.2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2:13" ht="14.25" x14ac:dyDescent="0.2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2:13" ht="14.25" x14ac:dyDescent="0.2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2:13" ht="14.25" x14ac:dyDescent="0.2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2:13" ht="14.25" x14ac:dyDescent="0.2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2:13" ht="14.25" x14ac:dyDescent="0.2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2:13" ht="14.25" x14ac:dyDescent="0.2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2:13" ht="14.25" x14ac:dyDescent="0.2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</row>
  </sheetData>
  <sheetProtection algorithmName="SHA-512" hashValue="eDNhAPwTzrMEhXBDBmypEaYH2odqXC1UUerkdVYXaP5T2MNGw7IFRZ7frFFYD3BkHVOca2ChJVf4kxRp8sS02w==" saltValue="rcIbWzgxqq3fd6aL9pZWbg==" spinCount="100000" sheet="1" selectLockedCells="1"/>
  <mergeCells count="74">
    <mergeCell ref="J16:L16"/>
    <mergeCell ref="E5:I5"/>
    <mergeCell ref="B10:E10"/>
    <mergeCell ref="F10:L10"/>
    <mergeCell ref="B11:E11"/>
    <mergeCell ref="F11:L11"/>
    <mergeCell ref="B12:E12"/>
    <mergeCell ref="F12:L12"/>
    <mergeCell ref="C38:F38"/>
    <mergeCell ref="B13:E13"/>
    <mergeCell ref="G13:I13"/>
    <mergeCell ref="B14:D14"/>
    <mergeCell ref="G14:H14"/>
    <mergeCell ref="B16:D16"/>
    <mergeCell ref="B18:E18"/>
    <mergeCell ref="F18:G18"/>
    <mergeCell ref="J17:L17"/>
    <mergeCell ref="J18:L18"/>
    <mergeCell ref="H35:I35"/>
    <mergeCell ref="C36:F36"/>
    <mergeCell ref="C37:F37"/>
    <mergeCell ref="C53:E53"/>
    <mergeCell ref="C39:F39"/>
    <mergeCell ref="C40:F40"/>
    <mergeCell ref="C41:F41"/>
    <mergeCell ref="C42:F42"/>
    <mergeCell ref="C43:F43"/>
    <mergeCell ref="C45:D45"/>
    <mergeCell ref="F45:J45"/>
    <mergeCell ref="F49:G49"/>
    <mergeCell ref="H49:I49"/>
    <mergeCell ref="C50:E50"/>
    <mergeCell ref="C51:E51"/>
    <mergeCell ref="C52:E52"/>
    <mergeCell ref="C63:C64"/>
    <mergeCell ref="C65:C66"/>
    <mergeCell ref="C67:C68"/>
    <mergeCell ref="C69:C70"/>
    <mergeCell ref="D69:I70"/>
    <mergeCell ref="C54:E54"/>
    <mergeCell ref="C56:D56"/>
    <mergeCell ref="F56:J56"/>
    <mergeCell ref="D59:E59"/>
    <mergeCell ref="D61:E61"/>
    <mergeCell ref="L69:L70"/>
    <mergeCell ref="C89:J89"/>
    <mergeCell ref="C90:J90"/>
    <mergeCell ref="C75:J75"/>
    <mergeCell ref="C76:J76"/>
    <mergeCell ref="C77:J77"/>
    <mergeCell ref="C78:J78"/>
    <mergeCell ref="C79:J79"/>
    <mergeCell ref="C80:J80"/>
    <mergeCell ref="C82:J82"/>
    <mergeCell ref="C83:J83"/>
    <mergeCell ref="C84:J84"/>
    <mergeCell ref="C85:J85"/>
    <mergeCell ref="D71:E71"/>
    <mergeCell ref="B108:E108"/>
    <mergeCell ref="B116:E116"/>
    <mergeCell ref="M69:M70"/>
    <mergeCell ref="J107:M107"/>
    <mergeCell ref="J116:M116"/>
    <mergeCell ref="J108:M108"/>
    <mergeCell ref="C91:J91"/>
    <mergeCell ref="C92:J92"/>
    <mergeCell ref="C93:J93"/>
    <mergeCell ref="C95:C96"/>
    <mergeCell ref="D95:E96"/>
    <mergeCell ref="B107:E107"/>
    <mergeCell ref="C81:J81"/>
    <mergeCell ref="C86:J86"/>
    <mergeCell ref="C87:J87"/>
    <mergeCell ref="C88:J88"/>
  </mergeCells>
  <conditionalFormatting sqref="D59:E59">
    <cfRule type="cellIs" dxfId="19" priority="12" operator="greaterThan">
      <formula>2000</formula>
    </cfRule>
  </conditionalFormatting>
  <conditionalFormatting sqref="E16">
    <cfRule type="cellIs" dxfId="18" priority="24" stopIfTrue="1" operator="notEqual">
      <formula>$F$37+#REF!+$F$38+#REF!+$F$39+#REF!+$F$40+#REF!+$F$41+$F$42+$F$43+$H$37+#REF!+$H$38+#REF!+$H$39+#REF!+$H$40+#REF!+$H$41+$H$42+$H$43+$F$51+$F$52+$F$53+$F$54+$G$51+$G$52+$G$53+$G$54</formula>
    </cfRule>
  </conditionalFormatting>
  <conditionalFormatting sqref="I37:I41">
    <cfRule type="expression" dxfId="16" priority="23">
      <formula>OR($I$37&lt;98,$I$37&gt;196)</formula>
    </cfRule>
  </conditionalFormatting>
  <conditionalFormatting sqref="I42">
    <cfRule type="expression" dxfId="15" priority="16">
      <formula>OR($I$42&lt;45,$I$42&gt;90)</formula>
    </cfRule>
  </conditionalFormatting>
  <conditionalFormatting sqref="I43">
    <cfRule type="expression" dxfId="14" priority="15">
      <formula>OR($I$43&lt;45,$I$43&gt;90)</formula>
    </cfRule>
  </conditionalFormatting>
  <conditionalFormatting sqref="L27:M28">
    <cfRule type="cellIs" dxfId="13" priority="11" operator="lessThan">
      <formula>0</formula>
    </cfRule>
  </conditionalFormatting>
  <conditionalFormatting sqref="L37:M45">
    <cfRule type="cellIs" dxfId="12" priority="2" operator="lessThan">
      <formula>0</formula>
    </cfRule>
  </conditionalFormatting>
  <conditionalFormatting sqref="L51:M56">
    <cfRule type="cellIs" dxfId="11" priority="1" operator="lessThan">
      <formula>0</formula>
    </cfRule>
  </conditionalFormatting>
  <conditionalFormatting sqref="L59:M59">
    <cfRule type="cellIs" dxfId="10" priority="5" operator="lessThan">
      <formula>0</formula>
    </cfRule>
  </conditionalFormatting>
  <conditionalFormatting sqref="L61:M61">
    <cfRule type="cellIs" dxfId="9" priority="3" operator="lessThan">
      <formula>0</formula>
    </cfRule>
  </conditionalFormatting>
  <conditionalFormatting sqref="L101:M101">
    <cfRule type="cellIs" dxfId="8" priority="14" operator="lessThan">
      <formula>0</formula>
    </cfRule>
  </conditionalFormatting>
  <dataValidations count="5">
    <dataValidation type="list" allowBlank="1" showInputMessage="1" showErrorMessage="1" sqref="K14" xr:uid="{76E7C5AA-1831-4017-869F-DB4144186A3A}">
      <formula1>$Z$17:$Z$30</formula1>
    </dataValidation>
    <dataValidation type="whole" operator="greaterThanOrEqual" allowBlank="1" showInputMessage="1" showErrorMessage="1" sqref="L75:L93" xr:uid="{B759C8BA-83A6-4951-BDCA-84A42705F266}">
      <formula1>0</formula1>
    </dataValidation>
    <dataValidation type="list" allowBlank="1" showInputMessage="1" showErrorMessage="1" sqref="F14 J14" xr:uid="{64F62A34-146E-41AB-B5A7-1A167DF12845}">
      <formula1>rok</formula1>
    </dataValidation>
    <dataValidation type="list" allowBlank="1" showInputMessage="1" sqref="I14 E14" xr:uid="{8A9EC451-DCA8-4546-BDF0-41B17FAAF0B4}">
      <formula1>mc</formula1>
    </dataValidation>
    <dataValidation operator="lessThanOrEqual" allowBlank="1" error="Stawka zbyt wysoka" sqref="I37:I41" xr:uid="{C130C9BA-E13C-4E5D-9F6F-7C8C2270C024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 alignWithMargins="0"/>
  <rowBreaks count="1" manualBreakCount="1">
    <brk id="62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0B670E7D-11C1-480A-A093-36E32EA0DCBE}">
            <xm:f>$D$58=Arkusz2!$B$19</xm:f>
            <x14:dxf>
              <fill>
                <patternFill patternType="darkTrellis"/>
              </fill>
            </x14:dxf>
          </x14:cfRule>
          <xm:sqref>D60</xm:sqref>
        </x14:conditionalFormatting>
        <x14:conditionalFormatting xmlns:xm="http://schemas.microsoft.com/office/excel/2006/main">
          <x14:cfRule type="expression" priority="21" id="{045FF4A7-0A37-4B6F-BB67-6709C2510C1E}">
            <xm:f>$D$58=Arkusz2!$B$19</xm:f>
            <x14:dxf>
              <fill>
                <patternFill patternType="darkTrellis"/>
              </fill>
            </x14:dxf>
          </x14:cfRule>
          <xm:sqref>F60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Y89"/>
  <sheetViews>
    <sheetView workbookViewId="0">
      <selection activeCell="C9" sqref="C9"/>
    </sheetView>
  </sheetViews>
  <sheetFormatPr defaultRowHeight="12.75" x14ac:dyDescent="0.2"/>
  <cols>
    <col min="1" max="1" width="4.5703125" customWidth="1"/>
    <col min="2" max="2" width="18" bestFit="1" customWidth="1"/>
    <col min="3" max="3" width="10.7109375" bestFit="1" customWidth="1"/>
    <col min="4" max="4" width="6.7109375" bestFit="1" customWidth="1"/>
    <col min="5" max="5" width="7.85546875" customWidth="1"/>
    <col min="6" max="6" width="8" customWidth="1"/>
    <col min="7" max="7" width="9.7109375" bestFit="1" customWidth="1"/>
    <col min="10" max="10" width="12.5703125" bestFit="1" customWidth="1"/>
    <col min="11" max="11" width="7.85546875" bestFit="1" customWidth="1"/>
    <col min="13" max="13" width="42.28515625" bestFit="1" customWidth="1"/>
    <col min="14" max="14" width="3.5703125" customWidth="1"/>
    <col min="15" max="15" width="41.85546875" bestFit="1" customWidth="1"/>
    <col min="16" max="16" width="10.42578125" customWidth="1"/>
    <col min="17" max="17" width="64" bestFit="1" customWidth="1"/>
    <col min="19" max="19" width="51.42578125" bestFit="1" customWidth="1"/>
    <col min="21" max="21" width="22.85546875" bestFit="1" customWidth="1"/>
  </cols>
  <sheetData>
    <row r="1" spans="2:23" ht="13.5" thickBot="1" x14ac:dyDescent="0.25">
      <c r="F1" t="s">
        <v>204</v>
      </c>
      <c r="G1" t="s">
        <v>205</v>
      </c>
      <c r="J1" t="s">
        <v>9</v>
      </c>
      <c r="K1" t="s">
        <v>10</v>
      </c>
      <c r="O1" t="s">
        <v>62</v>
      </c>
      <c r="Q1" t="s">
        <v>61</v>
      </c>
      <c r="S1" t="s">
        <v>60</v>
      </c>
    </row>
    <row r="2" spans="2:23" x14ac:dyDescent="0.2">
      <c r="B2" s="6" t="s">
        <v>65</v>
      </c>
      <c r="C2" s="192">
        <v>624</v>
      </c>
      <c r="D2" s="7">
        <v>180</v>
      </c>
      <c r="E2" s="7">
        <v>163296</v>
      </c>
      <c r="F2" s="7">
        <f>ROUND(E2*55%,0)</f>
        <v>89813</v>
      </c>
      <c r="G2" s="190">
        <f>E2-F2</f>
        <v>73483</v>
      </c>
      <c r="H2" s="9"/>
      <c r="J2" t="s">
        <v>7</v>
      </c>
      <c r="K2" t="s">
        <v>150</v>
      </c>
      <c r="M2" t="s">
        <v>2</v>
      </c>
      <c r="O2" t="s">
        <v>233</v>
      </c>
      <c r="P2" s="215">
        <v>0.32100000000000001</v>
      </c>
      <c r="Q2" t="s">
        <v>29</v>
      </c>
      <c r="S2" t="s">
        <v>73</v>
      </c>
      <c r="U2" t="s">
        <v>69</v>
      </c>
      <c r="W2" s="10" t="s">
        <v>5</v>
      </c>
    </row>
    <row r="3" spans="2:23" x14ac:dyDescent="0.2">
      <c r="B3" s="11" t="s">
        <v>195</v>
      </c>
      <c r="C3" s="193">
        <v>480</v>
      </c>
      <c r="D3">
        <v>180</v>
      </c>
      <c r="E3">
        <v>125597</v>
      </c>
      <c r="F3">
        <f t="shared" ref="F3:F5" si="0">ROUND(E3*55%,0)</f>
        <v>69078</v>
      </c>
      <c r="G3" s="191">
        <f t="shared" ref="G3:G8" si="1">E3-F3</f>
        <v>56519</v>
      </c>
      <c r="H3" s="13"/>
      <c r="J3" t="s">
        <v>8</v>
      </c>
      <c r="K3" t="s">
        <v>151</v>
      </c>
      <c r="M3" t="s">
        <v>190</v>
      </c>
      <c r="O3" t="s">
        <v>11</v>
      </c>
      <c r="P3" s="215">
        <v>0.247</v>
      </c>
      <c r="Q3" t="s">
        <v>26</v>
      </c>
      <c r="S3" t="s">
        <v>74</v>
      </c>
      <c r="U3" t="s">
        <v>68</v>
      </c>
      <c r="W3">
        <v>1</v>
      </c>
    </row>
    <row r="4" spans="2:23" x14ac:dyDescent="0.2">
      <c r="B4" s="11" t="s">
        <v>51</v>
      </c>
      <c r="C4" s="193">
        <v>286</v>
      </c>
      <c r="D4">
        <v>240</v>
      </c>
      <c r="E4">
        <v>99733</v>
      </c>
      <c r="F4">
        <f t="shared" si="0"/>
        <v>54853</v>
      </c>
      <c r="G4" s="191">
        <f t="shared" si="1"/>
        <v>44880</v>
      </c>
      <c r="H4" s="13"/>
      <c r="J4" t="s">
        <v>13</v>
      </c>
      <c r="K4" t="s">
        <v>152</v>
      </c>
      <c r="O4" t="s">
        <v>232</v>
      </c>
      <c r="P4" s="215">
        <v>0.58699999999999997</v>
      </c>
      <c r="Q4" t="s">
        <v>24</v>
      </c>
      <c r="S4" t="s">
        <v>86</v>
      </c>
      <c r="U4" t="s">
        <v>70</v>
      </c>
      <c r="W4">
        <v>2</v>
      </c>
    </row>
    <row r="5" spans="2:23" x14ac:dyDescent="0.2">
      <c r="B5" s="11" t="s">
        <v>54</v>
      </c>
      <c r="C5" s="193">
        <v>117</v>
      </c>
      <c r="D5">
        <v>360</v>
      </c>
      <c r="E5">
        <v>73524</v>
      </c>
      <c r="F5">
        <f t="shared" si="0"/>
        <v>40438</v>
      </c>
      <c r="G5" s="191">
        <f t="shared" si="1"/>
        <v>33086</v>
      </c>
      <c r="H5" s="13"/>
      <c r="J5" t="s">
        <v>16</v>
      </c>
      <c r="K5" t="s">
        <v>185</v>
      </c>
      <c r="O5" t="s">
        <v>170</v>
      </c>
      <c r="P5" s="215">
        <v>0.28799999999999998</v>
      </c>
      <c r="Q5" t="s">
        <v>175</v>
      </c>
      <c r="S5" t="s">
        <v>75</v>
      </c>
      <c r="W5">
        <v>3</v>
      </c>
    </row>
    <row r="6" spans="2:23" x14ac:dyDescent="0.2">
      <c r="B6" s="15" t="s">
        <v>57</v>
      </c>
      <c r="C6" s="193">
        <v>148</v>
      </c>
      <c r="D6" s="14">
        <v>540</v>
      </c>
      <c r="E6" s="14">
        <v>76866</v>
      </c>
      <c r="F6">
        <f>ROUND(E6*100%,0)</f>
        <v>76866</v>
      </c>
      <c r="G6" s="191">
        <f t="shared" si="1"/>
        <v>0</v>
      </c>
      <c r="H6" s="13"/>
      <c r="J6" t="s">
        <v>20</v>
      </c>
      <c r="K6" t="s">
        <v>186</v>
      </c>
      <c r="O6" t="s">
        <v>171</v>
      </c>
      <c r="P6" s="215">
        <v>0.254</v>
      </c>
      <c r="Q6" t="s">
        <v>15</v>
      </c>
      <c r="S6" t="s">
        <v>87</v>
      </c>
      <c r="W6">
        <v>4</v>
      </c>
    </row>
    <row r="7" spans="2:23" x14ac:dyDescent="0.2">
      <c r="B7" s="15" t="s">
        <v>196</v>
      </c>
      <c r="C7" s="193">
        <v>148</v>
      </c>
      <c r="D7" s="14">
        <v>540</v>
      </c>
      <c r="E7" s="14">
        <v>76866</v>
      </c>
      <c r="F7">
        <f t="shared" ref="F7:F8" si="2">ROUND(E7*100%,0)</f>
        <v>76866</v>
      </c>
      <c r="G7" s="191">
        <f t="shared" si="1"/>
        <v>0</v>
      </c>
      <c r="H7" s="13"/>
      <c r="J7" t="s">
        <v>22</v>
      </c>
      <c r="K7" t="s">
        <v>187</v>
      </c>
      <c r="O7" s="14" t="s">
        <v>172</v>
      </c>
      <c r="P7" s="215">
        <v>0.33200000000000002</v>
      </c>
      <c r="Q7" t="s">
        <v>174</v>
      </c>
      <c r="S7" t="s">
        <v>76</v>
      </c>
      <c r="V7" s="16"/>
      <c r="W7">
        <v>5</v>
      </c>
    </row>
    <row r="8" spans="2:23" x14ac:dyDescent="0.2">
      <c r="B8" s="11" t="s">
        <v>197</v>
      </c>
      <c r="C8" s="193">
        <v>148</v>
      </c>
      <c r="D8">
        <v>540</v>
      </c>
      <c r="E8" s="14">
        <v>76866</v>
      </c>
      <c r="F8">
        <f t="shared" si="2"/>
        <v>76866</v>
      </c>
      <c r="G8" s="191">
        <f t="shared" si="1"/>
        <v>0</v>
      </c>
      <c r="H8" s="13"/>
      <c r="J8" t="s">
        <v>23</v>
      </c>
      <c r="K8" t="s">
        <v>188</v>
      </c>
      <c r="O8" t="s">
        <v>173</v>
      </c>
      <c r="P8" s="215">
        <v>0.40300000000000002</v>
      </c>
      <c r="Q8" s="14" t="s">
        <v>228</v>
      </c>
      <c r="S8" t="s">
        <v>89</v>
      </c>
    </row>
    <row r="9" spans="2:23" x14ac:dyDescent="0.2">
      <c r="B9" s="11"/>
      <c r="G9" s="12"/>
      <c r="H9" s="13"/>
      <c r="J9" t="s">
        <v>25</v>
      </c>
      <c r="K9" t="s">
        <v>225</v>
      </c>
      <c r="P9" s="215"/>
      <c r="Q9" t="s">
        <v>231</v>
      </c>
      <c r="S9" t="s">
        <v>88</v>
      </c>
    </row>
    <row r="10" spans="2:23" x14ac:dyDescent="0.2">
      <c r="B10" s="11"/>
      <c r="E10" s="29"/>
      <c r="G10" s="12"/>
      <c r="H10" s="13"/>
      <c r="J10" t="s">
        <v>28</v>
      </c>
      <c r="K10" t="s">
        <v>226</v>
      </c>
      <c r="O10" s="10" t="s">
        <v>189</v>
      </c>
      <c r="P10" s="215">
        <v>0.36</v>
      </c>
      <c r="Q10" t="s">
        <v>179</v>
      </c>
      <c r="S10" t="s">
        <v>90</v>
      </c>
    </row>
    <row r="11" spans="2:23" x14ac:dyDescent="0.2">
      <c r="B11" s="11"/>
      <c r="G11" s="12"/>
      <c r="H11" s="13"/>
      <c r="J11" t="s">
        <v>106</v>
      </c>
      <c r="K11" t="s">
        <v>227</v>
      </c>
      <c r="P11" s="12"/>
      <c r="Q11" t="s">
        <v>229</v>
      </c>
      <c r="S11" t="s">
        <v>107</v>
      </c>
    </row>
    <row r="12" spans="2:23" ht="13.5" thickBot="1" x14ac:dyDescent="0.25">
      <c r="B12" s="18"/>
      <c r="C12" s="19"/>
      <c r="D12" s="19"/>
      <c r="E12" s="19"/>
      <c r="F12" s="19"/>
      <c r="G12" s="20"/>
      <c r="H12" s="21"/>
      <c r="J12" t="s">
        <v>30</v>
      </c>
      <c r="K12" t="s">
        <v>235</v>
      </c>
      <c r="Q12" t="s">
        <v>180</v>
      </c>
      <c r="S12" t="s">
        <v>91</v>
      </c>
    </row>
    <row r="13" spans="2:23" x14ac:dyDescent="0.2">
      <c r="J13" t="s">
        <v>31</v>
      </c>
      <c r="K13" t="s">
        <v>236</v>
      </c>
      <c r="Q13" t="s">
        <v>181</v>
      </c>
      <c r="S13" t="s">
        <v>92</v>
      </c>
    </row>
    <row r="14" spans="2:23" x14ac:dyDescent="0.2">
      <c r="E14">
        <f>E4/12</f>
        <v>8311.0833333333339</v>
      </c>
      <c r="Q14" t="s">
        <v>177</v>
      </c>
      <c r="S14" t="s">
        <v>93</v>
      </c>
    </row>
    <row r="15" spans="2:23" x14ac:dyDescent="0.2">
      <c r="Q15" t="s">
        <v>182</v>
      </c>
      <c r="S15" t="s">
        <v>77</v>
      </c>
    </row>
    <row r="16" spans="2:23" x14ac:dyDescent="0.2">
      <c r="M16" t="s">
        <v>1</v>
      </c>
      <c r="Q16" s="17" t="s">
        <v>184</v>
      </c>
      <c r="R16" s="17"/>
      <c r="S16" t="s">
        <v>94</v>
      </c>
    </row>
    <row r="17" spans="1: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t="s">
        <v>230</v>
      </c>
      <c r="R17" s="22"/>
      <c r="S17" t="s">
        <v>95</v>
      </c>
      <c r="T17" s="14"/>
      <c r="U17" s="14"/>
      <c r="V17" s="14"/>
      <c r="W17" s="14"/>
      <c r="X17" s="14"/>
      <c r="Y17" s="14"/>
    </row>
    <row r="18" spans="1:25" ht="13.5" thickBot="1" x14ac:dyDescent="0.25">
      <c r="A18" s="14"/>
      <c r="B18" s="14"/>
      <c r="C18" s="189">
        <v>0.55000000000000004</v>
      </c>
      <c r="D18" s="14"/>
      <c r="E18" s="14"/>
      <c r="F18" s="14"/>
      <c r="G18" s="14"/>
      <c r="H18" s="14"/>
      <c r="I18" s="14"/>
      <c r="J18" s="14"/>
      <c r="K18" s="14"/>
      <c r="M18" s="14"/>
      <c r="N18" s="14"/>
      <c r="O18" s="14"/>
      <c r="P18" s="14"/>
      <c r="Q18" t="s">
        <v>183</v>
      </c>
      <c r="R18" s="22"/>
      <c r="S18" t="s">
        <v>96</v>
      </c>
      <c r="T18" s="14"/>
      <c r="U18" s="14"/>
      <c r="V18" s="14"/>
      <c r="W18" s="14"/>
      <c r="X18" s="14"/>
      <c r="Y18" s="14"/>
    </row>
    <row r="19" spans="1:25" x14ac:dyDescent="0.2">
      <c r="C19" t="s">
        <v>201</v>
      </c>
      <c r="J19" s="7"/>
      <c r="Q19" t="s">
        <v>176</v>
      </c>
      <c r="R19" s="17"/>
      <c r="S19" t="s">
        <v>78</v>
      </c>
    </row>
    <row r="20" spans="1:25" ht="14.25" x14ac:dyDescent="0.2">
      <c r="B20" s="187" t="s">
        <v>65</v>
      </c>
      <c r="C20" s="164">
        <v>357</v>
      </c>
      <c r="D20">
        <v>180</v>
      </c>
      <c r="F20" s="164" t="s">
        <v>202</v>
      </c>
      <c r="H20" s="186"/>
      <c r="M20" s="80" t="s">
        <v>222</v>
      </c>
      <c r="Q20" t="s">
        <v>234</v>
      </c>
      <c r="R20" s="17"/>
      <c r="S20" t="s">
        <v>79</v>
      </c>
    </row>
    <row r="21" spans="1:25" ht="14.25" x14ac:dyDescent="0.2">
      <c r="A21" s="23"/>
      <c r="B21" t="s">
        <v>195</v>
      </c>
      <c r="C21" s="164">
        <v>268</v>
      </c>
      <c r="D21">
        <v>180</v>
      </c>
      <c r="F21" t="s">
        <v>203</v>
      </c>
      <c r="H21" s="186"/>
      <c r="M21" s="80" t="s">
        <v>223</v>
      </c>
      <c r="Q21" t="s">
        <v>178</v>
      </c>
      <c r="R21" s="17"/>
      <c r="S21" t="s">
        <v>80</v>
      </c>
    </row>
    <row r="22" spans="1:25" ht="14.25" x14ac:dyDescent="0.2">
      <c r="B22" s="187" t="s">
        <v>51</v>
      </c>
      <c r="C22" s="164">
        <v>156</v>
      </c>
      <c r="D22">
        <v>240</v>
      </c>
      <c r="F22" s="164"/>
      <c r="H22" s="186"/>
      <c r="R22" s="17"/>
      <c r="S22" t="s">
        <v>97</v>
      </c>
    </row>
    <row r="23" spans="1:25" ht="14.25" x14ac:dyDescent="0.2">
      <c r="A23" s="14"/>
      <c r="B23" t="s">
        <v>54</v>
      </c>
      <c r="C23" s="164">
        <v>70</v>
      </c>
      <c r="D23">
        <v>360</v>
      </c>
      <c r="G23" s="14"/>
      <c r="H23" s="186"/>
      <c r="I23" s="14"/>
      <c r="J23" s="14"/>
      <c r="K23" s="14"/>
      <c r="L23" s="14"/>
      <c r="M23" s="14"/>
      <c r="N23" s="14"/>
      <c r="O23" s="14"/>
      <c r="P23" s="14"/>
      <c r="R23" s="22"/>
      <c r="S23" t="s">
        <v>98</v>
      </c>
      <c r="T23" s="14"/>
      <c r="U23" s="14"/>
      <c r="V23" s="14"/>
      <c r="W23" s="14"/>
      <c r="X23" s="14"/>
      <c r="Y23" s="14"/>
    </row>
    <row r="24" spans="1:25" ht="14.25" x14ac:dyDescent="0.2">
      <c r="B24" s="187" t="s">
        <v>57</v>
      </c>
      <c r="C24" s="164">
        <v>89</v>
      </c>
      <c r="D24">
        <v>540</v>
      </c>
      <c r="F24" s="164"/>
      <c r="H24" s="186"/>
      <c r="R24" s="17"/>
      <c r="S24" t="s">
        <v>99</v>
      </c>
    </row>
    <row r="25" spans="1:25" ht="14.25" x14ac:dyDescent="0.2">
      <c r="B25" t="s">
        <v>196</v>
      </c>
      <c r="C25" s="164">
        <v>89</v>
      </c>
      <c r="D25">
        <v>540</v>
      </c>
      <c r="H25" s="186"/>
      <c r="R25" s="17"/>
      <c r="S25" t="s">
        <v>100</v>
      </c>
    </row>
    <row r="26" spans="1:25" ht="14.25" x14ac:dyDescent="0.2">
      <c r="B26" s="187" t="s">
        <v>197</v>
      </c>
      <c r="C26" s="164">
        <v>89</v>
      </c>
      <c r="D26" s="14">
        <v>540</v>
      </c>
      <c r="E26" s="14"/>
      <c r="F26" s="164"/>
      <c r="H26" s="186"/>
      <c r="R26" s="17"/>
      <c r="S26" t="s">
        <v>101</v>
      </c>
    </row>
    <row r="27" spans="1:25" ht="14.25" x14ac:dyDescent="0.2">
      <c r="B27" s="188"/>
      <c r="C27" s="164"/>
      <c r="R27" s="17"/>
      <c r="S27" s="17" t="s">
        <v>102</v>
      </c>
    </row>
    <row r="28" spans="1:25" ht="14.25" x14ac:dyDescent="0.2">
      <c r="B28" s="188"/>
      <c r="C28" s="164"/>
      <c r="L28" s="24"/>
      <c r="R28" s="17"/>
      <c r="S28" s="17" t="s">
        <v>81</v>
      </c>
    </row>
    <row r="29" spans="1:25" ht="14.25" x14ac:dyDescent="0.2">
      <c r="B29" s="188"/>
      <c r="C29" s="164"/>
      <c r="L29" s="25"/>
      <c r="R29" s="17"/>
      <c r="S29" s="17" t="s">
        <v>82</v>
      </c>
    </row>
    <row r="30" spans="1:25" ht="14.25" x14ac:dyDescent="0.2">
      <c r="B30" s="188"/>
      <c r="C30" s="164"/>
      <c r="L30" s="25"/>
      <c r="R30" s="17"/>
      <c r="S30" s="17" t="s">
        <v>83</v>
      </c>
    </row>
    <row r="31" spans="1:25" x14ac:dyDescent="0.2">
      <c r="L31" s="25"/>
      <c r="R31" s="17"/>
      <c r="S31" s="17" t="s">
        <v>84</v>
      </c>
    </row>
    <row r="32" spans="1:25" x14ac:dyDescent="0.2">
      <c r="L32" s="25"/>
      <c r="R32" s="17"/>
      <c r="S32" s="17" t="s">
        <v>103</v>
      </c>
    </row>
    <row r="33" spans="1:25" x14ac:dyDescent="0.2">
      <c r="L33" s="25"/>
      <c r="R33" s="17"/>
      <c r="S33" t="s">
        <v>85</v>
      </c>
      <c r="T33" s="17"/>
      <c r="U33" s="17"/>
      <c r="V33" s="17"/>
      <c r="W33" s="17"/>
      <c r="X33" s="17"/>
      <c r="Y33" s="17"/>
    </row>
    <row r="34" spans="1:25" ht="13.5" thickBot="1" x14ac:dyDescent="0.25">
      <c r="J34" s="26"/>
      <c r="K34" s="27"/>
      <c r="L34" s="25"/>
      <c r="R34" s="17"/>
      <c r="S34" t="s">
        <v>104</v>
      </c>
      <c r="T34" s="17"/>
      <c r="U34" s="17"/>
      <c r="V34" s="17"/>
      <c r="W34" s="17"/>
      <c r="X34" s="17"/>
      <c r="Y34" s="17"/>
    </row>
    <row r="35" spans="1:25" x14ac:dyDescent="0.2">
      <c r="B35" s="6" t="s">
        <v>49</v>
      </c>
      <c r="C35" s="7">
        <f>F35+H35</f>
        <v>105754</v>
      </c>
      <c r="D35" s="7" t="s">
        <v>48</v>
      </c>
      <c r="E35" s="7">
        <v>7344</v>
      </c>
      <c r="F35" s="7">
        <f>E35*12</f>
        <v>88128</v>
      </c>
      <c r="G35" s="8">
        <v>0.2</v>
      </c>
      <c r="H35" s="9">
        <f>ROUND(F35*G35,0)</f>
        <v>17626</v>
      </c>
      <c r="J35" s="26"/>
      <c r="K35" s="203"/>
      <c r="L35" s="25"/>
      <c r="N35" s="14"/>
      <c r="O35" s="14"/>
      <c r="P35" s="14"/>
      <c r="R35" s="17"/>
      <c r="S35" t="s">
        <v>105</v>
      </c>
      <c r="T35" s="17"/>
      <c r="U35" s="17"/>
      <c r="V35" s="17"/>
      <c r="W35" s="17"/>
      <c r="X35" s="17"/>
      <c r="Y35" s="17"/>
    </row>
    <row r="36" spans="1:25" x14ac:dyDescent="0.2">
      <c r="B36" s="11" t="s">
        <v>50</v>
      </c>
      <c r="C36">
        <f t="shared" ref="C36:C45" si="3">F36+H36</f>
        <v>97430</v>
      </c>
      <c r="D36" t="s">
        <v>48</v>
      </c>
      <c r="E36">
        <v>6766</v>
      </c>
      <c r="F36">
        <f t="shared" ref="F36:F45" si="4">E36*12</f>
        <v>81192</v>
      </c>
      <c r="G36" s="12">
        <v>0.2</v>
      </c>
      <c r="H36" s="13">
        <f t="shared" ref="H36:H45" si="5">ROUND(F36*G36,0)</f>
        <v>16238</v>
      </c>
      <c r="J36" s="26"/>
      <c r="K36" s="203"/>
      <c r="L36" s="25"/>
    </row>
    <row r="37" spans="1:25" x14ac:dyDescent="0.2">
      <c r="B37" s="11" t="s">
        <v>50</v>
      </c>
      <c r="C37">
        <f t="shared" si="3"/>
        <v>78912</v>
      </c>
      <c r="D37" t="s">
        <v>52</v>
      </c>
      <c r="E37">
        <v>5480</v>
      </c>
      <c r="F37">
        <f t="shared" si="4"/>
        <v>65760</v>
      </c>
      <c r="G37" s="12">
        <v>0.2</v>
      </c>
      <c r="H37" s="13">
        <f t="shared" si="5"/>
        <v>13152</v>
      </c>
      <c r="J37" s="26"/>
      <c r="K37" s="27"/>
      <c r="L37" s="25"/>
    </row>
    <row r="38" spans="1:25" x14ac:dyDescent="0.2">
      <c r="B38" s="11" t="s">
        <v>51</v>
      </c>
      <c r="C38">
        <f t="shared" si="3"/>
        <v>66102</v>
      </c>
      <c r="D38" t="s">
        <v>52</v>
      </c>
      <c r="E38">
        <v>4790</v>
      </c>
      <c r="F38">
        <f t="shared" si="4"/>
        <v>57480</v>
      </c>
      <c r="G38" s="12">
        <v>0.15</v>
      </c>
      <c r="H38" s="13">
        <f t="shared" si="5"/>
        <v>8622</v>
      </c>
      <c r="V38" s="17"/>
      <c r="W38" s="17"/>
      <c r="X38" s="17"/>
      <c r="Y38" s="17"/>
    </row>
    <row r="39" spans="1:25" x14ac:dyDescent="0.2">
      <c r="B39" s="15" t="s">
        <v>51</v>
      </c>
      <c r="C39">
        <f t="shared" si="3"/>
        <v>56856</v>
      </c>
      <c r="D39" s="14" t="s">
        <v>53</v>
      </c>
      <c r="E39" s="14">
        <v>4120</v>
      </c>
      <c r="F39">
        <f t="shared" si="4"/>
        <v>49440</v>
      </c>
      <c r="G39" s="12">
        <v>0.15</v>
      </c>
      <c r="H39" s="13">
        <f t="shared" si="5"/>
        <v>7416</v>
      </c>
      <c r="V39" s="17"/>
      <c r="W39" s="17"/>
      <c r="X39" s="17"/>
      <c r="Y39" s="17"/>
    </row>
    <row r="40" spans="1:25" x14ac:dyDescent="0.2">
      <c r="A40" s="14"/>
      <c r="B40" s="15" t="s">
        <v>54</v>
      </c>
      <c r="C40">
        <f t="shared" si="3"/>
        <v>40788</v>
      </c>
      <c r="D40" s="14" t="s">
        <v>53</v>
      </c>
      <c r="E40" s="14">
        <v>3090</v>
      </c>
      <c r="F40">
        <f t="shared" si="4"/>
        <v>37080</v>
      </c>
      <c r="G40" s="12">
        <v>0.1</v>
      </c>
      <c r="H40" s="13">
        <f t="shared" si="5"/>
        <v>3708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7"/>
      <c r="W40" s="17"/>
      <c r="X40" s="17"/>
      <c r="Y40" s="17"/>
    </row>
    <row r="41" spans="1:25" x14ac:dyDescent="0.2">
      <c r="B41" s="11" t="s">
        <v>54</v>
      </c>
      <c r="C41">
        <f t="shared" si="3"/>
        <v>33660</v>
      </c>
      <c r="D41" t="s">
        <v>59</v>
      </c>
      <c r="E41">
        <v>2550</v>
      </c>
      <c r="F41">
        <f t="shared" si="4"/>
        <v>30600</v>
      </c>
      <c r="G41" s="12">
        <v>0.1</v>
      </c>
      <c r="H41" s="13">
        <f t="shared" si="5"/>
        <v>3060</v>
      </c>
      <c r="V41" s="17"/>
      <c r="W41" s="17"/>
      <c r="X41" s="17"/>
      <c r="Y41" s="17"/>
    </row>
    <row r="42" spans="1:25" x14ac:dyDescent="0.2">
      <c r="B42" s="11" t="s">
        <v>55</v>
      </c>
      <c r="C42">
        <f t="shared" si="3"/>
        <v>52716</v>
      </c>
      <c r="D42" t="s">
        <v>53</v>
      </c>
      <c r="E42">
        <v>3820</v>
      </c>
      <c r="F42">
        <f t="shared" si="4"/>
        <v>45840</v>
      </c>
      <c r="G42" s="12">
        <v>0.15</v>
      </c>
      <c r="H42" s="13">
        <f t="shared" si="5"/>
        <v>6876</v>
      </c>
      <c r="V42" s="22"/>
      <c r="W42" s="22"/>
      <c r="X42" s="22"/>
      <c r="Y42" s="22"/>
    </row>
    <row r="43" spans="1:25" x14ac:dyDescent="0.2">
      <c r="B43" s="11" t="s">
        <v>55</v>
      </c>
      <c r="C43">
        <f t="shared" si="3"/>
        <v>43560</v>
      </c>
      <c r="D43" t="s">
        <v>59</v>
      </c>
      <c r="E43" s="29">
        <v>3025</v>
      </c>
      <c r="F43">
        <f t="shared" si="4"/>
        <v>36300</v>
      </c>
      <c r="G43" s="12">
        <v>0.2</v>
      </c>
      <c r="H43" s="13">
        <f t="shared" si="5"/>
        <v>7260</v>
      </c>
      <c r="V43" s="22"/>
      <c r="W43" s="22"/>
      <c r="X43" s="22"/>
      <c r="Y43" s="22"/>
    </row>
    <row r="44" spans="1:25" x14ac:dyDescent="0.2">
      <c r="A44" s="1"/>
      <c r="B44" s="11" t="s">
        <v>57</v>
      </c>
      <c r="C44">
        <f t="shared" si="3"/>
        <v>33603</v>
      </c>
      <c r="D44" t="s">
        <v>59</v>
      </c>
      <c r="E44">
        <v>2435</v>
      </c>
      <c r="F44">
        <f t="shared" si="4"/>
        <v>29220</v>
      </c>
      <c r="G44" s="12">
        <v>0.15</v>
      </c>
      <c r="H44" s="13">
        <f t="shared" si="5"/>
        <v>4383</v>
      </c>
      <c r="V44" s="17"/>
      <c r="W44" s="17"/>
      <c r="X44" s="17"/>
      <c r="Y44" s="17"/>
    </row>
    <row r="45" spans="1:25" ht="13.5" thickBot="1" x14ac:dyDescent="0.25">
      <c r="A45" s="3"/>
      <c r="B45" s="18" t="s">
        <v>58</v>
      </c>
      <c r="C45" s="19">
        <f t="shared" si="3"/>
        <v>32142</v>
      </c>
      <c r="D45" s="19" t="s">
        <v>59</v>
      </c>
      <c r="E45" s="19">
        <v>2435</v>
      </c>
      <c r="F45" s="19">
        <f t="shared" si="4"/>
        <v>29220</v>
      </c>
      <c r="G45" s="20">
        <v>0.1</v>
      </c>
      <c r="H45" s="21">
        <f t="shared" si="5"/>
        <v>2922</v>
      </c>
      <c r="V45" s="17"/>
      <c r="W45" s="17"/>
      <c r="X45" s="17"/>
      <c r="Y45" s="17"/>
    </row>
    <row r="46" spans="1:25" x14ac:dyDescent="0.2">
      <c r="A46" s="3"/>
      <c r="B46" s="3"/>
      <c r="F46" s="28"/>
      <c r="V46" s="17"/>
      <c r="W46" s="17"/>
      <c r="X46" s="17"/>
      <c r="Y46" s="17"/>
    </row>
    <row r="47" spans="1:25" x14ac:dyDescent="0.2">
      <c r="A47" s="3"/>
      <c r="B47" s="3"/>
      <c r="V47" s="17"/>
      <c r="W47" s="17"/>
      <c r="X47" s="17"/>
      <c r="Y47" s="17"/>
    </row>
    <row r="48" spans="1:25" x14ac:dyDescent="0.2">
      <c r="A48" s="3"/>
      <c r="B48" s="3"/>
      <c r="F48" s="12"/>
      <c r="V48" s="17"/>
      <c r="W48" s="17"/>
      <c r="X48" s="17"/>
      <c r="Y48" s="17"/>
    </row>
    <row r="49" spans="1:25" x14ac:dyDescent="0.2">
      <c r="A49" s="3"/>
      <c r="B49" s="3"/>
      <c r="F49" s="12"/>
      <c r="V49" s="17"/>
      <c r="W49" s="17"/>
      <c r="X49" s="17"/>
      <c r="Y49" s="17"/>
    </row>
    <row r="50" spans="1:25" x14ac:dyDescent="0.2">
      <c r="A50" s="3"/>
      <c r="B50" s="3"/>
      <c r="F50" s="12"/>
      <c r="V50" s="22"/>
      <c r="W50" s="22"/>
      <c r="X50" s="22"/>
      <c r="Y50" s="22"/>
    </row>
    <row r="51" spans="1:25" x14ac:dyDescent="0.2">
      <c r="A51" s="3"/>
      <c r="B51" s="3"/>
      <c r="F51" s="12"/>
      <c r="V51" s="17"/>
      <c r="W51" s="17"/>
      <c r="X51" s="17"/>
      <c r="Y51" s="17"/>
    </row>
    <row r="52" spans="1:25" x14ac:dyDescent="0.2">
      <c r="A52" s="3"/>
      <c r="B52" s="3"/>
      <c r="F52" s="12"/>
      <c r="V52" s="17"/>
      <c r="W52" s="17"/>
      <c r="X52" s="17"/>
      <c r="Y52" s="17"/>
    </row>
    <row r="53" spans="1:25" x14ac:dyDescent="0.2">
      <c r="A53" s="3"/>
      <c r="B53" s="3"/>
      <c r="F53" s="12"/>
      <c r="V53" s="17"/>
      <c r="W53" s="17"/>
      <c r="X53" s="17"/>
      <c r="Y53" s="17"/>
    </row>
    <row r="54" spans="1:25" x14ac:dyDescent="0.2">
      <c r="A54" s="3"/>
      <c r="B54" s="3"/>
      <c r="F54" s="12"/>
      <c r="V54" s="17"/>
      <c r="W54" s="17"/>
      <c r="X54" s="17"/>
      <c r="Y54" s="17"/>
    </row>
    <row r="55" spans="1:25" x14ac:dyDescent="0.2">
      <c r="A55" s="3"/>
      <c r="B55" s="3"/>
      <c r="F55" s="28"/>
      <c r="V55" s="17"/>
      <c r="W55" s="17"/>
      <c r="X55" s="17"/>
      <c r="Y55" s="17"/>
    </row>
    <row r="56" spans="1:25" x14ac:dyDescent="0.2">
      <c r="A56" s="3"/>
      <c r="B56" s="3"/>
      <c r="V56" s="17"/>
      <c r="W56" s="17"/>
      <c r="X56" s="17"/>
      <c r="Y56" s="17"/>
    </row>
    <row r="57" spans="1:25" x14ac:dyDescent="0.2">
      <c r="A57" s="3"/>
      <c r="B57" s="3"/>
      <c r="V57" s="17"/>
      <c r="W57" s="17"/>
      <c r="X57" s="17"/>
      <c r="Y57" s="17"/>
    </row>
    <row r="58" spans="1:25" x14ac:dyDescent="0.2">
      <c r="A58" s="3"/>
      <c r="B58" s="3"/>
    </row>
    <row r="89" spans="1:2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</sheetData>
  <sheetProtection algorithmName="SHA-512" hashValue="4J9Daj3dek+TXjiEbifkr4I5s8HetY6scpG0/mk4r+KfLIZ6mft+ei3OraHgGnDawt6aTkVxCfkr71NMpkNGWw==" saltValue="vPLBZK8N3l0Fdnh1TiDPyg==" spinCount="100000" sheet="1" objects="1" scenarios="1"/>
  <sortState xmlns:xlrd2="http://schemas.microsoft.com/office/spreadsheetml/2017/richdata2" ref="Q2:Q20">
    <sortCondition ref="Q2:Q20"/>
  </sortState>
  <phoneticPr fontId="20" type="noConversion"/>
  <conditionalFormatting sqref="B20">
    <cfRule type="expression" dxfId="7" priority="11">
      <formula>$I$34&gt;196</formula>
    </cfRule>
  </conditionalFormatting>
  <conditionalFormatting sqref="B22">
    <cfRule type="expression" dxfId="6" priority="10">
      <formula>$I$35&gt;196</formula>
    </cfRule>
  </conditionalFormatting>
  <conditionalFormatting sqref="B24">
    <cfRule type="expression" dxfId="5" priority="9">
      <formula>$I$36&gt;166</formula>
    </cfRule>
  </conditionalFormatting>
  <conditionalFormatting sqref="B26">
    <cfRule type="expression" dxfId="4" priority="8">
      <formula>$I$37&gt;166</formula>
    </cfRule>
  </conditionalFormatting>
  <conditionalFormatting sqref="B27">
    <cfRule type="expression" dxfId="3" priority="4">
      <formula>$I$41&gt;138</formula>
    </cfRule>
  </conditionalFormatting>
  <conditionalFormatting sqref="B28">
    <cfRule type="expression" dxfId="2" priority="3">
      <formula>$I$42&gt;138</formula>
    </cfRule>
  </conditionalFormatting>
  <conditionalFormatting sqref="B29">
    <cfRule type="expression" dxfId="1" priority="2">
      <formula>$I$43&gt;90</formula>
    </cfRule>
  </conditionalFormatting>
  <conditionalFormatting sqref="B30">
    <cfRule type="expression" dxfId="0" priority="1">
      <formula>$I$44&gt;90</formula>
    </cfRule>
  </conditionalFormatting>
  <dataValidations disablePrompts="1" count="4">
    <dataValidation allowBlank="1" showInputMessage="1" sqref="B22" xr:uid="{57471F58-51D6-4C65-A303-595F8D7AF389}"/>
    <dataValidation operator="lessThanOrEqual" allowBlank="1" error="Stawka zbyt wysoka" sqref="B20 H20:H22" xr:uid="{36129AF6-4DD8-4ACB-A099-EFBDA508BBA5}"/>
    <dataValidation type="whole" operator="lessThanOrEqual" allowBlank="1" showInputMessage="1" showErrorMessage="1" error="Stawka zbyt wysoka" sqref="H23:H24" xr:uid="{63164523-09D5-48C2-8A08-523D743322A0}">
      <formula1>#REF!</formula1>
    </dataValidation>
    <dataValidation operator="lessThanOrEqual" allowBlank="1" showInputMessage="1" error="Stawka zbyt wysoka" sqref="H26" xr:uid="{1F2D65E0-2D9B-4ADF-8FC9-87DA3EE01306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B2:Q28"/>
  <sheetViews>
    <sheetView workbookViewId="0">
      <selection activeCell="B43" sqref="B43"/>
    </sheetView>
  </sheetViews>
  <sheetFormatPr defaultRowHeight="12.75" x14ac:dyDescent="0.2"/>
  <cols>
    <col min="2" max="2" width="14" bestFit="1" customWidth="1"/>
    <col min="3" max="3" width="10.140625" bestFit="1" customWidth="1"/>
    <col min="4" max="4" width="10.5703125" bestFit="1" customWidth="1"/>
    <col min="5" max="6" width="11" bestFit="1" customWidth="1"/>
    <col min="16" max="16" width="41.85546875" bestFit="1" customWidth="1"/>
  </cols>
  <sheetData>
    <row r="2" spans="2:17" ht="14.25" x14ac:dyDescent="0.2">
      <c r="B2" s="152" t="s">
        <v>115</v>
      </c>
      <c r="C2" s="152" t="s">
        <v>116</v>
      </c>
      <c r="D2" s="152" t="s">
        <v>117</v>
      </c>
      <c r="E2" s="152" t="s">
        <v>118</v>
      </c>
      <c r="F2" s="152" t="s">
        <v>167</v>
      </c>
    </row>
    <row r="4" spans="2:17" x14ac:dyDescent="0.2">
      <c r="B4" t="s">
        <v>159</v>
      </c>
      <c r="C4" t="s">
        <v>153</v>
      </c>
      <c r="D4" t="s">
        <v>154</v>
      </c>
      <c r="E4" t="s">
        <v>155</v>
      </c>
      <c r="F4" t="s">
        <v>166</v>
      </c>
      <c r="P4" s="14" t="s">
        <v>72</v>
      </c>
      <c r="Q4" s="160">
        <v>0.16086296451867702</v>
      </c>
    </row>
    <row r="5" spans="2:17" x14ac:dyDescent="0.2">
      <c r="P5" t="s">
        <v>11</v>
      </c>
      <c r="Q5" s="160">
        <v>0.1379971964035501</v>
      </c>
    </row>
    <row r="6" spans="2:17" x14ac:dyDescent="0.2">
      <c r="P6" t="s">
        <v>12</v>
      </c>
      <c r="Q6" s="160">
        <v>0.25085781993618356</v>
      </c>
    </row>
    <row r="7" spans="2:17" x14ac:dyDescent="0.2">
      <c r="B7" t="s">
        <v>108</v>
      </c>
      <c r="P7" t="s">
        <v>17</v>
      </c>
      <c r="Q7" s="160">
        <v>0.20324163214477506</v>
      </c>
    </row>
    <row r="8" spans="2:17" x14ac:dyDescent="0.2">
      <c r="B8" t="s">
        <v>156</v>
      </c>
      <c r="P8" t="s">
        <v>71</v>
      </c>
      <c r="Q8" s="160">
        <v>0.15837205178823921</v>
      </c>
    </row>
    <row r="9" spans="2:17" x14ac:dyDescent="0.2">
      <c r="P9" t="s">
        <v>14</v>
      </c>
      <c r="Q9" s="160">
        <v>0.16351402378153351</v>
      </c>
    </row>
    <row r="10" spans="2:17" x14ac:dyDescent="0.2">
      <c r="P10" t="s">
        <v>21</v>
      </c>
      <c r="Q10" s="160">
        <v>0.20871376476943054</v>
      </c>
    </row>
    <row r="11" spans="2:17" x14ac:dyDescent="0.2">
      <c r="B11" t="s">
        <v>111</v>
      </c>
    </row>
    <row r="12" spans="2:17" x14ac:dyDescent="0.2">
      <c r="B12" t="s">
        <v>157</v>
      </c>
    </row>
    <row r="14" spans="2:17" x14ac:dyDescent="0.2">
      <c r="B14" t="s">
        <v>120</v>
      </c>
    </row>
    <row r="15" spans="2:17" x14ac:dyDescent="0.2">
      <c r="B15" t="s">
        <v>158</v>
      </c>
    </row>
    <row r="18" spans="2:13" x14ac:dyDescent="0.2">
      <c r="B18" t="s">
        <v>160</v>
      </c>
    </row>
    <row r="19" spans="2:13" x14ac:dyDescent="0.2">
      <c r="B19" s="10" t="s">
        <v>161</v>
      </c>
    </row>
    <row r="22" spans="2:13" ht="13.5" thickBot="1" x14ac:dyDescent="0.25"/>
    <row r="23" spans="2:13" ht="14.25" thickTop="1" thickBot="1" x14ac:dyDescent="0.25">
      <c r="B23" s="161" t="s">
        <v>168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</row>
    <row r="24" spans="2:13" ht="17.25" thickTop="1" thickBot="1" x14ac:dyDescent="0.25">
      <c r="B24" s="88" t="s">
        <v>163</v>
      </c>
    </row>
    <row r="25" spans="2:13" ht="13.5" thickTop="1" x14ac:dyDescent="0.2"/>
    <row r="27" spans="2:13" x14ac:dyDescent="0.2">
      <c r="B27" t="s">
        <v>142</v>
      </c>
    </row>
    <row r="28" spans="2:13" x14ac:dyDescent="0.2">
      <c r="B28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79AA-6E2F-418C-8BFC-8DD15C52B513}">
  <sheetPr codeName="Arkusz5"/>
  <dimension ref="C4:X34"/>
  <sheetViews>
    <sheetView workbookViewId="0">
      <selection activeCell="B43" sqref="B43"/>
    </sheetView>
  </sheetViews>
  <sheetFormatPr defaultRowHeight="12.75" x14ac:dyDescent="0.2"/>
  <sheetData>
    <row r="4" spans="3:24" x14ac:dyDescent="0.2">
      <c r="D4">
        <v>4000</v>
      </c>
    </row>
    <row r="5" spans="3:24" x14ac:dyDescent="0.2">
      <c r="D5">
        <v>10</v>
      </c>
    </row>
    <row r="7" spans="3:24" x14ac:dyDescent="0.2">
      <c r="D7">
        <v>1</v>
      </c>
      <c r="E7">
        <v>2</v>
      </c>
      <c r="F7">
        <v>3</v>
      </c>
      <c r="G7">
        <v>4</v>
      </c>
      <c r="H7">
        <v>5</v>
      </c>
    </row>
    <row r="8" spans="3:24" x14ac:dyDescent="0.2">
      <c r="D8">
        <v>40000</v>
      </c>
      <c r="E8">
        <v>80000</v>
      </c>
      <c r="F8">
        <v>120000</v>
      </c>
      <c r="G8">
        <v>160000</v>
      </c>
      <c r="H8">
        <v>200000</v>
      </c>
    </row>
    <row r="9" spans="3:24" x14ac:dyDescent="0.2">
      <c r="C9" s="28">
        <v>0.15</v>
      </c>
      <c r="D9">
        <f>D8*C9</f>
        <v>6000</v>
      </c>
      <c r="E9">
        <f>E8*C9</f>
        <v>12000</v>
      </c>
      <c r="F9">
        <f>F8*C9</f>
        <v>18000</v>
      </c>
      <c r="G9">
        <f>G8*C9</f>
        <v>24000</v>
      </c>
      <c r="H9">
        <f>H8*C9</f>
        <v>30000</v>
      </c>
      <c r="T9">
        <v>4000</v>
      </c>
      <c r="U9">
        <v>4000</v>
      </c>
      <c r="V9">
        <v>4000</v>
      </c>
      <c r="W9">
        <v>4000</v>
      </c>
      <c r="X9">
        <v>4000</v>
      </c>
    </row>
    <row r="10" spans="3:24" x14ac:dyDescent="0.2">
      <c r="D10">
        <f>D9/4000</f>
        <v>1.5</v>
      </c>
      <c r="E10">
        <f t="shared" ref="E10:H10" si="0">E9/4000</f>
        <v>3</v>
      </c>
      <c r="F10">
        <f t="shared" si="0"/>
        <v>4.5</v>
      </c>
      <c r="G10">
        <f t="shared" si="0"/>
        <v>6</v>
      </c>
      <c r="H10">
        <f t="shared" si="0"/>
        <v>7.5</v>
      </c>
      <c r="T10">
        <v>10</v>
      </c>
      <c r="U10">
        <v>10</v>
      </c>
      <c r="V10">
        <v>10</v>
      </c>
      <c r="W10">
        <v>10</v>
      </c>
      <c r="X10">
        <v>10</v>
      </c>
    </row>
    <row r="11" spans="3:24" x14ac:dyDescent="0.2">
      <c r="C11" s="28">
        <v>0.2</v>
      </c>
      <c r="D11">
        <f>C11*D8</f>
        <v>8000</v>
      </c>
      <c r="O11">
        <v>1400</v>
      </c>
      <c r="T11">
        <f>T9*T10</f>
        <v>40000</v>
      </c>
      <c r="U11">
        <f t="shared" ref="U11:X11" si="1">U9*U10</f>
        <v>40000</v>
      </c>
      <c r="V11">
        <f t="shared" si="1"/>
        <v>40000</v>
      </c>
      <c r="W11">
        <f t="shared" si="1"/>
        <v>40000</v>
      </c>
      <c r="X11">
        <f t="shared" si="1"/>
        <v>40000</v>
      </c>
    </row>
    <row r="12" spans="3:24" x14ac:dyDescent="0.2">
      <c r="C12" s="28">
        <f>C11/2</f>
        <v>0.1</v>
      </c>
      <c r="E12">
        <f>C12*D8</f>
        <v>4000</v>
      </c>
      <c r="O12">
        <v>25</v>
      </c>
    </row>
    <row r="13" spans="3:24" x14ac:dyDescent="0.2">
      <c r="C13" s="205">
        <f>C12/2</f>
        <v>0.05</v>
      </c>
      <c r="F13">
        <f>C13*D8</f>
        <v>2000</v>
      </c>
      <c r="S13" s="28">
        <v>0.2</v>
      </c>
      <c r="T13">
        <f>S13*T11</f>
        <v>8000</v>
      </c>
    </row>
    <row r="14" spans="3:24" x14ac:dyDescent="0.2">
      <c r="C14" s="205">
        <f>C13/2</f>
        <v>2.5000000000000001E-2</v>
      </c>
      <c r="G14">
        <f>C14*D8</f>
        <v>1000</v>
      </c>
      <c r="O14">
        <f>O11*O12</f>
        <v>35000</v>
      </c>
      <c r="S14" s="28">
        <f>S13/2</f>
        <v>0.1</v>
      </c>
      <c r="U14">
        <f>S14*U11</f>
        <v>4000</v>
      </c>
    </row>
    <row r="15" spans="3:24" x14ac:dyDescent="0.2">
      <c r="C15" s="205">
        <f>C14/2</f>
        <v>1.2500000000000001E-2</v>
      </c>
      <c r="H15">
        <f>C15*D8</f>
        <v>500</v>
      </c>
      <c r="S15" s="205">
        <f>S14/2</f>
        <v>0.05</v>
      </c>
      <c r="V15">
        <f>S15*V11</f>
        <v>2000</v>
      </c>
    </row>
    <row r="16" spans="3:24" x14ac:dyDescent="0.2">
      <c r="O16">
        <v>3</v>
      </c>
      <c r="S16" s="205">
        <f>S15/2</f>
        <v>2.5000000000000001E-2</v>
      </c>
      <c r="W16">
        <f>S16*W11</f>
        <v>1000</v>
      </c>
    </row>
    <row r="17" spans="4:24" x14ac:dyDescent="0.2">
      <c r="D17">
        <f>D11</f>
        <v>8000</v>
      </c>
      <c r="E17">
        <f>D11+E12</f>
        <v>12000</v>
      </c>
      <c r="F17">
        <f>D11+E12+F13</f>
        <v>14000</v>
      </c>
      <c r="G17">
        <f>D11+E12+F13+G14</f>
        <v>15000</v>
      </c>
      <c r="H17" s="23">
        <f>D11+E12+F13+G14+H15</f>
        <v>15500</v>
      </c>
      <c r="O17">
        <f>O16*O11</f>
        <v>4200</v>
      </c>
      <c r="S17" s="205">
        <f>S16/2</f>
        <v>1.2500000000000001E-2</v>
      </c>
      <c r="X17">
        <f>S17*X11</f>
        <v>500</v>
      </c>
    </row>
    <row r="18" spans="4:24" x14ac:dyDescent="0.2">
      <c r="O18" s="160">
        <f>O17/O14</f>
        <v>0.12</v>
      </c>
    </row>
    <row r="19" spans="4:24" x14ac:dyDescent="0.2">
      <c r="T19">
        <f>T13/T9</f>
        <v>2</v>
      </c>
      <c r="U19">
        <f>U14/U9</f>
        <v>1</v>
      </c>
      <c r="V19">
        <f>V15/V9</f>
        <v>0.5</v>
      </c>
      <c r="W19">
        <f>W16/W9</f>
        <v>0.25</v>
      </c>
      <c r="X19">
        <f>X17/X9</f>
        <v>0.125</v>
      </c>
    </row>
    <row r="22" spans="4:24" x14ac:dyDescent="0.2">
      <c r="D22">
        <f>D17/4000</f>
        <v>2</v>
      </c>
      <c r="E22">
        <f>E17/4000</f>
        <v>3</v>
      </c>
      <c r="F22">
        <f t="shared" ref="F22:H22" si="2">F17/4000</f>
        <v>3.5</v>
      </c>
      <c r="G22">
        <f t="shared" si="2"/>
        <v>3.75</v>
      </c>
      <c r="H22">
        <f t="shared" si="2"/>
        <v>3.875</v>
      </c>
    </row>
    <row r="24" spans="4:24" x14ac:dyDescent="0.2">
      <c r="D24" s="12">
        <v>0.2</v>
      </c>
    </row>
    <row r="25" spans="4:24" x14ac:dyDescent="0.2">
      <c r="T25">
        <f>T11-T13</f>
        <v>32000</v>
      </c>
      <c r="U25">
        <f>U11-U14</f>
        <v>36000</v>
      </c>
      <c r="V25">
        <f>V11-V15</f>
        <v>38000</v>
      </c>
      <c r="W25">
        <f>W11-W16</f>
        <v>39000</v>
      </c>
      <c r="X25">
        <f>X11-X17</f>
        <v>39500</v>
      </c>
    </row>
    <row r="27" spans="4:24" x14ac:dyDescent="0.2">
      <c r="D27">
        <f>D24*D5</f>
        <v>2</v>
      </c>
    </row>
    <row r="28" spans="4:24" x14ac:dyDescent="0.2">
      <c r="D28">
        <f>D8-D9</f>
        <v>34000</v>
      </c>
      <c r="E28">
        <f>E8-E9</f>
        <v>68000</v>
      </c>
      <c r="F28">
        <f>F8-F9</f>
        <v>102000</v>
      </c>
      <c r="G28">
        <f t="shared" ref="G28:H28" si="3">G8-G9</f>
        <v>136000</v>
      </c>
      <c r="H28">
        <f t="shared" si="3"/>
        <v>170000</v>
      </c>
    </row>
    <row r="29" spans="4:24" x14ac:dyDescent="0.2">
      <c r="P29">
        <v>1500</v>
      </c>
    </row>
    <row r="30" spans="4:24" x14ac:dyDescent="0.2">
      <c r="P30">
        <v>24</v>
      </c>
    </row>
    <row r="31" spans="4:24" x14ac:dyDescent="0.2">
      <c r="P31">
        <f>P29*P30</f>
        <v>36000</v>
      </c>
    </row>
    <row r="32" spans="4:24" x14ac:dyDescent="0.2">
      <c r="O32" s="12">
        <v>0.2</v>
      </c>
      <c r="P32">
        <f>O32*P30</f>
        <v>4.8000000000000007</v>
      </c>
      <c r="Q32">
        <f>P31*O32</f>
        <v>7200</v>
      </c>
    </row>
    <row r="34" spans="16:16" x14ac:dyDescent="0.2">
      <c r="P34">
        <f>P32*P29</f>
        <v>7200.0000000000009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"/>
  <sheetViews>
    <sheetView workbookViewId="0">
      <selection activeCell="E4" sqref="E4:E1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14</vt:i4>
      </vt:variant>
    </vt:vector>
  </HeadingPairs>
  <TitlesOfParts>
    <vt:vector size="20" baseType="lpstr">
      <vt:lpstr>kosztorys podypl.</vt:lpstr>
      <vt:lpstr>rozliczenie</vt:lpstr>
      <vt:lpstr>Arkusz1</vt:lpstr>
      <vt:lpstr>Arkusz2</vt:lpstr>
      <vt:lpstr>Arkusz4</vt:lpstr>
      <vt:lpstr>Arkusz3</vt:lpstr>
      <vt:lpstr>anek</vt:lpstr>
      <vt:lpstr>forma</vt:lpstr>
      <vt:lpstr>ins</vt:lpstr>
      <vt:lpstr>kier</vt:lpstr>
      <vt:lpstr>mc</vt:lpstr>
      <vt:lpstr>'kosztorys podypl.'!Obszar_wydruku</vt:lpstr>
      <vt:lpstr>rozliczenie!Obszar_wydruku</vt:lpstr>
      <vt:lpstr>pon</vt:lpstr>
      <vt:lpstr>poz</vt:lpstr>
      <vt:lpstr>proc</vt:lpstr>
      <vt:lpstr>rok</vt:lpstr>
      <vt:lpstr>typ</vt:lpstr>
      <vt:lpstr>wydz</vt:lpstr>
      <vt:lpstr>wydz1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Nikola Chruścińska</cp:lastModifiedBy>
  <cp:lastPrinted>2022-03-21T09:55:08Z</cp:lastPrinted>
  <dcterms:created xsi:type="dcterms:W3CDTF">2010-10-28T08:08:25Z</dcterms:created>
  <dcterms:modified xsi:type="dcterms:W3CDTF">2026-01-14T11:09:14Z</dcterms:modified>
</cp:coreProperties>
</file>